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charts/chart15.xml" ContentType="application/vnd.openxmlformats-officedocument.drawingml.chart+xml"/>
  <Override PartName="/xl/drawings/drawing7.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9.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0.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11.xml" ContentType="application/vnd.openxmlformats-officedocument.drawing+xml"/>
  <Override PartName="/xl/charts/chart27.xml" ContentType="application/vnd.openxmlformats-officedocument.drawingml.chart+xml"/>
  <Override PartName="/xl/drawings/drawing12.xml" ContentType="application/vnd.openxmlformats-officedocument.drawing+xml"/>
  <Override PartName="/xl/charts/chart28.xml" ContentType="application/vnd.openxmlformats-officedocument.drawingml.chart+xml"/>
  <Override PartName="/xl/drawings/drawing13.xml" ContentType="application/vnd.openxmlformats-officedocument.drawing+xml"/>
  <Override PartName="/xl/charts/chart29.xml" ContentType="application/vnd.openxmlformats-officedocument.drawingml.chart+xml"/>
  <Override PartName="/xl/drawings/drawing14.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5.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6.xml" ContentType="application/vnd.openxmlformats-officedocument.drawing+xml"/>
  <Override PartName="/xl/charts/chart34.xml" ContentType="application/vnd.openxmlformats-officedocument.drawingml.chart+xml"/>
  <Override PartName="/xl/drawings/drawing17.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8.xml" ContentType="application/vnd.openxmlformats-officedocument.drawing+xml"/>
  <Override PartName="/xl/charts/chart37.xml" ContentType="application/vnd.openxmlformats-officedocument.drawingml.chart+xml"/>
  <Override PartName="/xl/drawings/drawing19.xml" ContentType="application/vnd.openxmlformats-officedocument.drawing+xml"/>
  <Override PartName="/xl/charts/chart38.xml" ContentType="application/vnd.openxmlformats-officedocument.drawingml.chart+xml"/>
  <Override PartName="/xl/drawings/drawing20.xml" ContentType="application/vnd.openxmlformats-officedocument.drawing+xml"/>
  <Override PartName="/xl/charts/chart39.xml" ContentType="application/vnd.openxmlformats-officedocument.drawingml.chart+xml"/>
  <Override PartName="/xl/drawings/drawing21.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drawings/drawing22.xml" ContentType="application/vnd.openxmlformats-officedocument.drawing+xml"/>
  <Override PartName="/xl/charts/chart4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Override PartName="/xl/charts/colors11.xml" ContentType="application/vnd.ms-office.chartcolorstyle+xml"/>
  <Override PartName="/xl/charts/style11.xml" ContentType="application/vnd.ms-office.chartstyle+xml"/>
  <Override PartName="/xl/charts/colors12.xml" ContentType="application/vnd.ms-office.chartcolorstyle+xml"/>
  <Override PartName="/xl/charts/style12.xml" ContentType="application/vnd.ms-office.chartstyle+xml"/>
  <Override PartName="/xl/charts/colors13.xml" ContentType="application/vnd.ms-office.chartcolorstyle+xml"/>
  <Override PartName="/xl/charts/style13.xml" ContentType="application/vnd.ms-office.chartstyle+xml"/>
  <Override PartName="/xl/charts/colors14.xml" ContentType="application/vnd.ms-office.chartcolorstyle+xml"/>
  <Override PartName="/xl/charts/style14.xml" ContentType="application/vnd.ms-office.chartstyle+xml"/>
  <Override PartName="/xl/charts/colors15.xml" ContentType="application/vnd.ms-office.chartcolorstyle+xml"/>
  <Override PartName="/xl/charts/style15.xml" ContentType="application/vnd.ms-office.chartstyle+xml"/>
  <Override PartName="/xl/charts/colors16.xml" ContentType="application/vnd.ms-office.chartcolorstyle+xml"/>
  <Override PartName="/xl/charts/style16.xml" ContentType="application/vnd.ms-office.chartstyle+xml"/>
  <Override PartName="/xl/charts/colors17.xml" ContentType="application/vnd.ms-office.chartcolorstyle+xml"/>
  <Override PartName="/xl/charts/style17.xml" ContentType="application/vnd.ms-office.chartstyle+xml"/>
  <Override PartName="/xl/charts/colors18.xml" ContentType="application/vnd.ms-office.chartcolorstyle+xml"/>
  <Override PartName="/xl/charts/style18.xml" ContentType="application/vnd.ms-office.chartstyle+xml"/>
  <Override PartName="/xl/charts/colors19.xml" ContentType="application/vnd.ms-office.chartcolorstyle+xml"/>
  <Override PartName="/xl/charts/style19.xml" ContentType="application/vnd.ms-office.chartstyle+xml"/>
  <Override PartName="/xl/charts/colors20.xml" ContentType="application/vnd.ms-office.chartcolorstyle+xml"/>
  <Override PartName="/xl/charts/style20.xml" ContentType="application/vnd.ms-office.chartstyle+xml"/>
  <Override PartName="/xl/charts/colors21.xml" ContentType="application/vnd.ms-office.chartcolorstyle+xml"/>
  <Override PartName="/xl/charts/style21.xml" ContentType="application/vnd.ms-office.chartstyle+xml"/>
  <Override PartName="/xl/charts/colors22.xml" ContentType="application/vnd.ms-office.chartcolorstyle+xml"/>
  <Override PartName="/xl/charts/style22.xml" ContentType="application/vnd.ms-office.chartstyle+xml"/>
  <Override PartName="/xl/charts/colors23.xml" ContentType="application/vnd.ms-office.chartcolorstyle+xml"/>
  <Override PartName="/xl/charts/style23.xml" ContentType="application/vnd.ms-office.chartstyle+xml"/>
  <Override PartName="/xl/charts/colors24.xml" ContentType="application/vnd.ms-office.chartcolorstyle+xml"/>
  <Override PartName="/xl/charts/style24.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8340" yWindow="0" windowWidth="24120" windowHeight="13620" tabRatio="837"/>
  </bookViews>
  <sheets>
    <sheet name="Ruwe data" sheetId="1" r:id="rId1"/>
    <sheet name="Overzicht vragen" sheetId="3" r:id="rId2"/>
    <sheet name="Type instelling" sheetId="4" r:id="rId3"/>
    <sheet name="Erfgoedtaak" sheetId="5" r:id="rId4"/>
    <sheet name="Budget &amp; FTE" sheetId="6" r:id="rId5"/>
    <sheet name="Digitale strategie" sheetId="8" r:id="rId6"/>
    <sheet name="Born digital" sheetId="9" r:id="rId7"/>
    <sheet name="Objecttypes" sheetId="11" r:id="rId8"/>
    <sheet name="Collectiedatabase" sheetId="12" r:id="rId9"/>
    <sheet name="Digitale collectie" sheetId="7" r:id="rId10"/>
    <sheet name="Gedigitaliseerd" sheetId="13" r:id="rId11"/>
    <sheet name="Online" sheetId="14" r:id="rId12"/>
    <sheet name="Auteursrechten" sheetId="15" r:id="rId13"/>
    <sheet name="Kanalen" sheetId="16" r:id="rId14"/>
    <sheet name="Online kanalen" sheetId="17" r:id="rId15"/>
    <sheet name="Gebruik" sheetId="18" r:id="rId16"/>
    <sheet name="Gebruiksstatistieken" sheetId="19" r:id="rId17"/>
    <sheet name="Websitebezoek" sheetId="20" r:id="rId18"/>
    <sheet name="Digitaal depot" sheetId="21" r:id="rId19"/>
    <sheet name="Uitgaven" sheetId="22" r:id="rId20"/>
    <sheet name="Kosten" sheetId="23" r:id="rId21"/>
    <sheet name="Besteding" sheetId="24" r:id="rId22"/>
    <sheet name="Besteding (2)" sheetId="25" r:id="rId23"/>
    <sheet name="Besteding (3)" sheetId="26" r:id="rId24"/>
    <sheet name="FTE's" sheetId="27" r:id="rId25"/>
    <sheet name="Financiering" sheetId="28" r:id="rId26"/>
  </sheets>
  <definedNames>
    <definedName name="_xlnm._FilterDatabase" localSheetId="5" hidden="1">'Digitale strategie'!$A$5:$F$143</definedName>
    <definedName name="_xlnm._FilterDatabase" localSheetId="0" hidden="1">'Ruwe data'!$A$4:$EC$152</definedName>
    <definedName name="_xlnm._FilterDatabase" localSheetId="2" hidden="1">'Type instelling'!#REF!</definedName>
  </definedNames>
  <calcPr calcId="14562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28" l="1"/>
  <c r="B75" i="27"/>
  <c r="K7" i="27"/>
  <c r="I47" i="13"/>
  <c r="I46" i="13"/>
  <c r="I45" i="13"/>
  <c r="I44" i="13"/>
  <c r="I43" i="13"/>
  <c r="I42" i="13"/>
  <c r="I41" i="13"/>
  <c r="N21" i="7"/>
  <c r="O21" i="7"/>
  <c r="AE20" i="6"/>
  <c r="G48" i="6"/>
  <c r="AB80" i="6"/>
  <c r="G47" i="6"/>
  <c r="Y11" i="6"/>
  <c r="G46" i="6"/>
  <c r="V43" i="6"/>
  <c r="G45" i="6"/>
  <c r="J29" i="6"/>
  <c r="I29" i="6"/>
  <c r="H29" i="6"/>
  <c r="G29" i="6"/>
  <c r="K22" i="6"/>
  <c r="K23" i="6"/>
  <c r="K24" i="6"/>
  <c r="K25" i="6"/>
  <c r="K26" i="6"/>
  <c r="K27" i="6"/>
  <c r="K28" i="6"/>
  <c r="K29" i="6"/>
  <c r="K5" i="27"/>
  <c r="S37" i="27"/>
  <c r="L36" i="27"/>
  <c r="Y42" i="27"/>
  <c r="L38" i="27"/>
  <c r="AK41" i="27"/>
  <c r="M38" i="27"/>
  <c r="K38" i="27"/>
  <c r="V68" i="27"/>
  <c r="L37" i="27"/>
  <c r="AH70" i="27"/>
  <c r="M37" i="27"/>
  <c r="K37" i="27"/>
  <c r="AE36" i="27"/>
  <c r="M36" i="27"/>
  <c r="K36" i="27"/>
  <c r="P54" i="27"/>
  <c r="L35" i="27"/>
  <c r="AB51" i="27"/>
  <c r="M35" i="27"/>
  <c r="K35" i="27"/>
  <c r="N5" i="27"/>
  <c r="M5" i="27"/>
  <c r="L5" i="27"/>
  <c r="F73" i="27"/>
  <c r="K6" i="27"/>
  <c r="F55" i="22"/>
  <c r="F57" i="22"/>
  <c r="K7" i="22"/>
  <c r="K6" i="22"/>
  <c r="B75" i="22"/>
  <c r="B77" i="22"/>
  <c r="J7" i="22"/>
  <c r="J6" i="22"/>
  <c r="Q8" i="22"/>
  <c r="Q7" i="22"/>
  <c r="L8" i="22"/>
  <c r="L7" i="22"/>
  <c r="L6" i="22"/>
  <c r="D37" i="21"/>
  <c r="D39" i="21"/>
  <c r="D38" i="21"/>
  <c r="D40" i="21"/>
  <c r="E37" i="21"/>
  <c r="F37" i="21"/>
  <c r="G37" i="21"/>
  <c r="E39" i="21"/>
  <c r="F39" i="21"/>
  <c r="G39" i="21"/>
  <c r="E38" i="21"/>
  <c r="F38" i="21"/>
  <c r="G38" i="21"/>
  <c r="E40" i="21"/>
  <c r="F40" i="21"/>
  <c r="G40" i="21"/>
  <c r="N23" i="7"/>
  <c r="N22" i="7"/>
  <c r="N25" i="7"/>
  <c r="N24" i="7"/>
  <c r="L58" i="8"/>
  <c r="L57" i="8"/>
  <c r="L56" i="8"/>
  <c r="L55" i="8"/>
  <c r="O23" i="7"/>
  <c r="O22" i="7"/>
  <c r="O25" i="7"/>
  <c r="O24" i="7"/>
  <c r="AW8" i="11"/>
  <c r="AV8" i="11"/>
  <c r="AU8" i="11"/>
  <c r="AT8" i="11"/>
  <c r="AW6" i="11"/>
  <c r="AV6" i="11"/>
  <c r="AU6" i="11"/>
  <c r="AT6" i="11"/>
  <c r="AW7" i="11"/>
  <c r="AV7" i="11"/>
  <c r="AU7" i="11"/>
  <c r="AT7" i="11"/>
  <c r="AW9" i="11"/>
  <c r="AV9" i="11"/>
  <c r="AU9" i="11"/>
  <c r="AT9" i="11"/>
  <c r="AW10" i="11"/>
  <c r="AV10" i="11"/>
  <c r="AU10" i="11"/>
  <c r="AT10" i="11"/>
  <c r="AW11" i="11"/>
  <c r="AV11" i="11"/>
  <c r="AU11" i="11"/>
  <c r="AT11" i="11"/>
  <c r="AW12" i="11"/>
  <c r="AV12" i="11"/>
  <c r="AT12" i="11"/>
  <c r="AP12" i="11"/>
  <c r="AP11" i="11"/>
  <c r="AP10" i="11"/>
  <c r="AP9" i="11"/>
  <c r="AP8" i="11"/>
  <c r="AP7" i="11"/>
  <c r="AP6" i="11"/>
  <c r="AQ12" i="11"/>
  <c r="AQ11" i="11"/>
  <c r="AQ10" i="11"/>
  <c r="AQ9" i="11"/>
  <c r="AQ8" i="11"/>
  <c r="AQ7" i="11"/>
  <c r="AQ6" i="11"/>
  <c r="AO12" i="11"/>
  <c r="AO11" i="11"/>
  <c r="AO10" i="11"/>
  <c r="AO9" i="11"/>
  <c r="AO8" i="11"/>
  <c r="AO7" i="11"/>
  <c r="AN12" i="11"/>
  <c r="AN11" i="11"/>
  <c r="AN10" i="11"/>
  <c r="AN9" i="11"/>
  <c r="AN8" i="11"/>
  <c r="AN7" i="11"/>
  <c r="AN6" i="11"/>
  <c r="AK13" i="11"/>
  <c r="AK12" i="11"/>
  <c r="AK11" i="11"/>
  <c r="AK10" i="11"/>
  <c r="AK9" i="11"/>
  <c r="AK6" i="11"/>
  <c r="AJ13" i="11"/>
  <c r="AJ12" i="11"/>
  <c r="AJ11" i="11"/>
  <c r="AJ10" i="11"/>
  <c r="AJ9" i="11"/>
  <c r="AJ8" i="11"/>
  <c r="AJ7" i="11"/>
  <c r="AJ6" i="11"/>
  <c r="AI13" i="11"/>
  <c r="AI12" i="11"/>
  <c r="AI11" i="11"/>
  <c r="AI10" i="11"/>
  <c r="AI9" i="11"/>
  <c r="AI6" i="11"/>
  <c r="AH13" i="11"/>
  <c r="AH12" i="11"/>
  <c r="AH11" i="11"/>
  <c r="AH10" i="11"/>
  <c r="AH9" i="11"/>
  <c r="AH8" i="11"/>
  <c r="AH6" i="11"/>
  <c r="AB78" i="11"/>
  <c r="AC78" i="11"/>
  <c r="AB67" i="11"/>
  <c r="AC67" i="11"/>
  <c r="AB56" i="11"/>
  <c r="AC56" i="11"/>
  <c r="AB45" i="11"/>
  <c r="AC45" i="11"/>
  <c r="AB70" i="11"/>
  <c r="AB48" i="11"/>
  <c r="AB81" i="11"/>
  <c r="AC81" i="11"/>
  <c r="AC70" i="11"/>
  <c r="AB59" i="11"/>
  <c r="AC59" i="11"/>
  <c r="AC48" i="11"/>
  <c r="AD81" i="11"/>
  <c r="AD70" i="11"/>
  <c r="AD59" i="11"/>
  <c r="AD48" i="11"/>
  <c r="AB69" i="11"/>
  <c r="AB47" i="11"/>
  <c r="AB80" i="11"/>
  <c r="AC69" i="11"/>
  <c r="AB58" i="11"/>
  <c r="AC47" i="11"/>
  <c r="AD80" i="11"/>
  <c r="AD69" i="11"/>
  <c r="AD58" i="11"/>
  <c r="AD47" i="11"/>
  <c r="AB68" i="11"/>
  <c r="AB57" i="11"/>
  <c r="AB46" i="11"/>
  <c r="AB79" i="11"/>
  <c r="AC68" i="11"/>
  <c r="AD79" i="11"/>
  <c r="AD68" i="11"/>
  <c r="AD46" i="11"/>
  <c r="AB82" i="11"/>
  <c r="AB71" i="11"/>
  <c r="AB60" i="11"/>
  <c r="AB49" i="11"/>
  <c r="AC82" i="11"/>
  <c r="AC71" i="11"/>
  <c r="AC60" i="11"/>
  <c r="AC49" i="11"/>
  <c r="AD82" i="11"/>
  <c r="AD71" i="11"/>
  <c r="AD60" i="11"/>
  <c r="AD49" i="11"/>
  <c r="AD83" i="11"/>
  <c r="AC83" i="11"/>
  <c r="AB83" i="11"/>
  <c r="AD50" i="11"/>
  <c r="AC50" i="11"/>
  <c r="AC61" i="11"/>
  <c r="AB72" i="11"/>
  <c r="AC72" i="11"/>
  <c r="AD72" i="11"/>
  <c r="AD61" i="11"/>
  <c r="AB52" i="11"/>
  <c r="AB74" i="11"/>
  <c r="AC85" i="11"/>
  <c r="AC74" i="11"/>
  <c r="AD63" i="11"/>
  <c r="AC63" i="11"/>
  <c r="AC52" i="11"/>
  <c r="AD85" i="11"/>
  <c r="AD74" i="11"/>
  <c r="AD52" i="11"/>
  <c r="AB73" i="11"/>
  <c r="AC84" i="11"/>
  <c r="AC73" i="11"/>
  <c r="AD84" i="11"/>
  <c r="AD73" i="11"/>
  <c r="AC62" i="11"/>
  <c r="AD62" i="11"/>
  <c r="AC51" i="11"/>
  <c r="AD51" i="11"/>
  <c r="Y143" i="11"/>
  <c r="AB5" i="11"/>
  <c r="X143" i="11"/>
  <c r="AC5" i="11"/>
  <c r="V143" i="11"/>
  <c r="AB8" i="11"/>
  <c r="U143" i="11"/>
  <c r="AC8" i="11"/>
  <c r="T143" i="11"/>
  <c r="AD8" i="11"/>
  <c r="S143" i="11"/>
  <c r="AB7" i="11"/>
  <c r="R143" i="11"/>
  <c r="AC7" i="11"/>
  <c r="Q143" i="11"/>
  <c r="AD7" i="11"/>
  <c r="P143" i="11"/>
  <c r="AB6" i="11"/>
  <c r="O143" i="11"/>
  <c r="AC6" i="11"/>
  <c r="N143" i="11"/>
  <c r="AD6" i="11"/>
  <c r="M143" i="11"/>
  <c r="AB9" i="11"/>
  <c r="L143" i="11"/>
  <c r="AC9" i="11"/>
  <c r="K143" i="11"/>
  <c r="AD9" i="11"/>
  <c r="J143" i="11"/>
  <c r="AB10" i="11"/>
  <c r="I143" i="11"/>
  <c r="AC10" i="11"/>
  <c r="H143" i="11"/>
  <c r="AD10" i="11"/>
  <c r="G143" i="11"/>
  <c r="AB12" i="11"/>
  <c r="F143" i="11"/>
  <c r="AC12" i="11"/>
  <c r="E143" i="11"/>
  <c r="AD12" i="11"/>
  <c r="D143" i="11"/>
  <c r="AB11" i="11"/>
  <c r="C143" i="11"/>
  <c r="AC11" i="11"/>
  <c r="B143" i="11"/>
  <c r="AD11" i="11"/>
  <c r="O12" i="28"/>
  <c r="O11" i="28"/>
  <c r="O10" i="28"/>
  <c r="O9" i="28"/>
  <c r="O7" i="28"/>
  <c r="O8" i="28"/>
  <c r="O6" i="28"/>
  <c r="O5" i="28"/>
  <c r="M12" i="28"/>
  <c r="M11" i="28"/>
  <c r="M10" i="28"/>
  <c r="M9" i="28"/>
  <c r="M8" i="28"/>
  <c r="M7" i="28"/>
  <c r="M6" i="28"/>
  <c r="M5" i="28"/>
  <c r="K64" i="26"/>
  <c r="K63" i="26"/>
  <c r="K62" i="26"/>
  <c r="K61" i="26"/>
  <c r="K60" i="26"/>
  <c r="K59" i="26"/>
  <c r="K58" i="26"/>
  <c r="K57" i="26"/>
  <c r="K56" i="26"/>
  <c r="K55" i="26"/>
  <c r="K54" i="26"/>
  <c r="K53" i="26"/>
  <c r="K52" i="26"/>
  <c r="K51" i="26"/>
  <c r="K50" i="26"/>
  <c r="K49" i="26"/>
  <c r="K48" i="26"/>
  <c r="K47" i="26"/>
  <c r="K46" i="26"/>
  <c r="K45" i="26"/>
  <c r="K44" i="26"/>
  <c r="K43" i="26"/>
  <c r="K42" i="26"/>
  <c r="K41" i="26"/>
  <c r="K40" i="26"/>
  <c r="K39" i="26"/>
  <c r="K38" i="26"/>
  <c r="K37" i="26"/>
  <c r="K36" i="26"/>
  <c r="K35" i="26"/>
  <c r="K34" i="26"/>
  <c r="K33" i="26"/>
  <c r="K32" i="26"/>
  <c r="K31" i="26"/>
  <c r="K30" i="26"/>
  <c r="K29" i="26"/>
  <c r="K28" i="26"/>
  <c r="K27" i="26"/>
  <c r="K26" i="26"/>
  <c r="K25" i="26"/>
  <c r="K24" i="26"/>
  <c r="K23" i="26"/>
  <c r="K22" i="26"/>
  <c r="K21" i="26"/>
  <c r="K20" i="26"/>
  <c r="K19" i="26"/>
  <c r="K18" i="26"/>
  <c r="K17" i="26"/>
  <c r="K16" i="26"/>
  <c r="K15" i="26"/>
  <c r="K14" i="26"/>
  <c r="K13" i="26"/>
  <c r="K12" i="26"/>
  <c r="K11" i="26"/>
  <c r="K10" i="26"/>
  <c r="K9" i="26"/>
  <c r="K8" i="26"/>
  <c r="K7" i="26"/>
  <c r="K6" i="26"/>
  <c r="J66" i="26"/>
  <c r="I66" i="26"/>
  <c r="H66" i="26"/>
  <c r="G66" i="26"/>
  <c r="F66" i="26"/>
  <c r="E66" i="26"/>
  <c r="D66" i="26"/>
  <c r="C66" i="26"/>
  <c r="B66" i="26"/>
  <c r="N13" i="25"/>
  <c r="J63" i="25"/>
  <c r="I63" i="25"/>
  <c r="H63" i="25"/>
  <c r="G63" i="25"/>
  <c r="F63" i="25"/>
  <c r="E63" i="25"/>
  <c r="D63" i="25"/>
  <c r="C63" i="25"/>
  <c r="B63" i="25"/>
  <c r="K61" i="25"/>
  <c r="K60" i="25"/>
  <c r="K59" i="25"/>
  <c r="K58" i="25"/>
  <c r="K57" i="25"/>
  <c r="K56" i="25"/>
  <c r="K55" i="25"/>
  <c r="K54" i="25"/>
  <c r="K53" i="25"/>
  <c r="K52" i="25"/>
  <c r="K51" i="25"/>
  <c r="K50" i="25"/>
  <c r="K49" i="25"/>
  <c r="K48" i="25"/>
  <c r="K47" i="25"/>
  <c r="K46" i="25"/>
  <c r="K45" i="25"/>
  <c r="K44" i="25"/>
  <c r="K43" i="25"/>
  <c r="K42" i="25"/>
  <c r="K41" i="25"/>
  <c r="K40" i="25"/>
  <c r="K39" i="25"/>
  <c r="K38" i="25"/>
  <c r="K37" i="25"/>
  <c r="K36" i="25"/>
  <c r="K35" i="25"/>
  <c r="K34" i="25"/>
  <c r="K33" i="25"/>
  <c r="K32" i="25"/>
  <c r="K31" i="25"/>
  <c r="K30" i="25"/>
  <c r="K29" i="25"/>
  <c r="K28" i="25"/>
  <c r="K27" i="25"/>
  <c r="K26" i="25"/>
  <c r="K25" i="25"/>
  <c r="K24" i="25"/>
  <c r="K23" i="25"/>
  <c r="K22" i="25"/>
  <c r="K21" i="25"/>
  <c r="K20" i="25"/>
  <c r="K19" i="25"/>
  <c r="K18" i="25"/>
  <c r="K17" i="25"/>
  <c r="K16" i="25"/>
  <c r="K15" i="25"/>
  <c r="K14" i="25"/>
  <c r="K13" i="25"/>
  <c r="K12" i="25"/>
  <c r="K11" i="25"/>
  <c r="K10" i="25"/>
  <c r="K9" i="25"/>
  <c r="K8" i="25"/>
  <c r="K7" i="25"/>
  <c r="K6" i="25"/>
  <c r="K5" i="25"/>
  <c r="C73" i="24"/>
  <c r="G5" i="24"/>
  <c r="B73" i="24"/>
  <c r="G4" i="24"/>
  <c r="D71" i="24"/>
  <c r="D70" i="24"/>
  <c r="D69" i="24"/>
  <c r="D68" i="24"/>
  <c r="D67" i="24"/>
  <c r="D66" i="24"/>
  <c r="D65" i="24"/>
  <c r="D64" i="24"/>
  <c r="D63" i="24"/>
  <c r="D62" i="24"/>
  <c r="D61" i="24"/>
  <c r="D60" i="24"/>
  <c r="D59" i="24"/>
  <c r="D58" i="24"/>
  <c r="D57" i="24"/>
  <c r="D56" i="24"/>
  <c r="D55" i="24"/>
  <c r="D54" i="24"/>
  <c r="D53" i="24"/>
  <c r="D52" i="24"/>
  <c r="D51" i="24"/>
  <c r="D50" i="24"/>
  <c r="D49" i="24"/>
  <c r="D48" i="24"/>
  <c r="D47" i="24"/>
  <c r="D46" i="24"/>
  <c r="D45" i="24"/>
  <c r="D44" i="24"/>
  <c r="D43" i="24"/>
  <c r="D42" i="24"/>
  <c r="D41" i="24"/>
  <c r="D40" i="24"/>
  <c r="D39" i="24"/>
  <c r="D38" i="24"/>
  <c r="D37" i="24"/>
  <c r="D36" i="24"/>
  <c r="D35" i="24"/>
  <c r="D34" i="24"/>
  <c r="D33" i="24"/>
  <c r="D32" i="24"/>
  <c r="D31" i="24"/>
  <c r="D30" i="24"/>
  <c r="D29" i="24"/>
  <c r="D28" i="24"/>
  <c r="D27" i="24"/>
  <c r="D26" i="24"/>
  <c r="D25" i="24"/>
  <c r="D24" i="24"/>
  <c r="D23" i="24"/>
  <c r="D22" i="24"/>
  <c r="D21" i="24"/>
  <c r="D20" i="24"/>
  <c r="D19" i="24"/>
  <c r="D18" i="24"/>
  <c r="D17" i="24"/>
  <c r="D16" i="24"/>
  <c r="D15" i="24"/>
  <c r="D14" i="24"/>
  <c r="D13" i="24"/>
  <c r="D12" i="24"/>
  <c r="D11" i="24"/>
  <c r="D10" i="24"/>
  <c r="D9" i="24"/>
  <c r="D8" i="24"/>
  <c r="D7" i="24"/>
  <c r="D6" i="24"/>
  <c r="D5" i="24"/>
  <c r="D4" i="24"/>
  <c r="AB11" i="23"/>
  <c r="H6" i="23"/>
  <c r="AA11" i="23"/>
  <c r="G6" i="23"/>
  <c r="X44" i="23"/>
  <c r="H7" i="23"/>
  <c r="W44" i="23"/>
  <c r="G7" i="23"/>
  <c r="T9" i="23"/>
  <c r="H8" i="23"/>
  <c r="S9" i="23"/>
  <c r="G8" i="23"/>
  <c r="P28" i="23"/>
  <c r="H9" i="23"/>
  <c r="O28" i="23"/>
  <c r="G9" i="23"/>
  <c r="C74" i="23"/>
  <c r="H10" i="23"/>
  <c r="B74" i="23"/>
  <c r="G10" i="23"/>
  <c r="D6" i="23"/>
  <c r="D7" i="23"/>
  <c r="D8" i="23"/>
  <c r="D9" i="23"/>
  <c r="D10" i="23"/>
  <c r="D11" i="23"/>
  <c r="D12" i="23"/>
  <c r="D13" i="23"/>
  <c r="D14" i="23"/>
  <c r="D15" i="23"/>
  <c r="D16" i="23"/>
  <c r="D17" i="23"/>
  <c r="D18" i="23"/>
  <c r="D19" i="23"/>
  <c r="D20" i="23"/>
  <c r="D21" i="23"/>
  <c r="D22" i="23"/>
  <c r="D23" i="23"/>
  <c r="D24" i="23"/>
  <c r="D25" i="23"/>
  <c r="D26" i="23"/>
  <c r="D27" i="23"/>
  <c r="D28" i="23"/>
  <c r="D29" i="23"/>
  <c r="D30" i="23"/>
  <c r="D31" i="23"/>
  <c r="D32" i="23"/>
  <c r="D33" i="23"/>
  <c r="D34" i="23"/>
  <c r="D35" i="23"/>
  <c r="D36" i="23"/>
  <c r="D37" i="23"/>
  <c r="D38" i="23"/>
  <c r="D39" i="23"/>
  <c r="D40" i="23"/>
  <c r="D41" i="23"/>
  <c r="D42" i="23"/>
  <c r="D43" i="23"/>
  <c r="D44" i="23"/>
  <c r="D45" i="23"/>
  <c r="D46" i="23"/>
  <c r="D47" i="23"/>
  <c r="D48" i="23"/>
  <c r="D49" i="23"/>
  <c r="D50" i="23"/>
  <c r="D51" i="23"/>
  <c r="D52" i="23"/>
  <c r="D53" i="23"/>
  <c r="D54" i="23"/>
  <c r="D55" i="23"/>
  <c r="D56" i="23"/>
  <c r="D57" i="23"/>
  <c r="D58" i="23"/>
  <c r="D59" i="23"/>
  <c r="D60" i="23"/>
  <c r="D61" i="23"/>
  <c r="D62" i="23"/>
  <c r="D63" i="23"/>
  <c r="D64" i="23"/>
  <c r="D65" i="23"/>
  <c r="D66" i="23"/>
  <c r="D67" i="23"/>
  <c r="D68" i="23"/>
  <c r="D69" i="23"/>
  <c r="D70" i="23"/>
  <c r="D71" i="23"/>
  <c r="D72" i="23"/>
  <c r="D5" i="23"/>
  <c r="F8" i="21"/>
  <c r="F7" i="21"/>
  <c r="F6" i="21"/>
  <c r="F5" i="21"/>
  <c r="F4" i="21"/>
  <c r="D8" i="21"/>
  <c r="D7" i="21"/>
  <c r="D6" i="21"/>
  <c r="D5" i="21"/>
  <c r="D4" i="21"/>
  <c r="B31" i="20"/>
  <c r="E6" i="20"/>
  <c r="O24" i="19"/>
  <c r="O25" i="19"/>
  <c r="O26" i="19"/>
  <c r="O27" i="19"/>
  <c r="O28" i="19"/>
  <c r="O29" i="19"/>
  <c r="O30" i="19"/>
  <c r="O31" i="19"/>
  <c r="Q5" i="19"/>
  <c r="Q4" i="19"/>
  <c r="I95" i="18"/>
  <c r="I97" i="18"/>
  <c r="H95" i="18"/>
  <c r="H97" i="18"/>
  <c r="G95" i="18"/>
  <c r="G97" i="18"/>
  <c r="F95" i="18"/>
  <c r="F97" i="18"/>
  <c r="E95" i="18"/>
  <c r="E97" i="18"/>
  <c r="D95" i="18"/>
  <c r="D97" i="18"/>
  <c r="C95" i="18"/>
  <c r="C97" i="18"/>
  <c r="B95" i="18"/>
  <c r="B97" i="18"/>
  <c r="S86" i="17"/>
  <c r="S88" i="17"/>
  <c r="R86" i="17"/>
  <c r="R88" i="17"/>
  <c r="Q86" i="17"/>
  <c r="Q88" i="17"/>
  <c r="P86" i="17"/>
  <c r="P88" i="17"/>
  <c r="K86" i="17"/>
  <c r="K88" i="17"/>
  <c r="J86" i="17"/>
  <c r="J88" i="17"/>
  <c r="I86" i="17"/>
  <c r="I88" i="17"/>
  <c r="H86" i="17"/>
  <c r="H88" i="17"/>
  <c r="G86" i="17"/>
  <c r="G88" i="17"/>
  <c r="F86" i="17"/>
  <c r="F88" i="17"/>
  <c r="E86" i="17"/>
  <c r="E88" i="17"/>
  <c r="D86" i="17"/>
  <c r="D88" i="17"/>
  <c r="C86" i="17"/>
  <c r="C88" i="17"/>
  <c r="B86" i="17"/>
  <c r="B88" i="17"/>
  <c r="B55" i="16"/>
  <c r="I7" i="16"/>
  <c r="C55" i="16"/>
  <c r="I8" i="16"/>
  <c r="D55" i="16"/>
  <c r="I9" i="16"/>
  <c r="I10" i="16"/>
  <c r="O86" i="17"/>
  <c r="N86" i="17"/>
  <c r="M86" i="17"/>
  <c r="L86" i="17"/>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E9" i="16"/>
  <c r="E8" i="16"/>
  <c r="E7" i="16"/>
  <c r="Y52" i="15"/>
  <c r="X52" i="15"/>
  <c r="W52" i="15"/>
  <c r="V52" i="15"/>
  <c r="Y51" i="15"/>
  <c r="X51" i="15"/>
  <c r="W51" i="15"/>
  <c r="V51" i="15"/>
  <c r="Y50" i="15"/>
  <c r="X50" i="15"/>
  <c r="W50" i="15"/>
  <c r="V50" i="15"/>
  <c r="Y49" i="15"/>
  <c r="X49" i="15"/>
  <c r="W49" i="15"/>
  <c r="V49" i="15"/>
  <c r="BO15" i="15"/>
  <c r="BN15" i="15"/>
  <c r="BM15" i="15"/>
  <c r="BL15" i="15"/>
  <c r="BI49" i="15"/>
  <c r="BH49" i="15"/>
  <c r="BG49" i="15"/>
  <c r="BF49" i="15"/>
  <c r="BC13" i="15"/>
  <c r="BB13" i="15"/>
  <c r="BA13" i="15"/>
  <c r="AZ13" i="15"/>
  <c r="AW34" i="15"/>
  <c r="AV34" i="15"/>
  <c r="AU34" i="15"/>
  <c r="AT34" i="15"/>
  <c r="Y44" i="15"/>
  <c r="X44" i="15"/>
  <c r="W44" i="15"/>
  <c r="V44" i="15"/>
  <c r="Y43" i="15"/>
  <c r="X43" i="15"/>
  <c r="W43" i="15"/>
  <c r="V43" i="15"/>
  <c r="Y42" i="15"/>
  <c r="X42" i="15"/>
  <c r="W42" i="15"/>
  <c r="V42" i="15"/>
  <c r="Y41" i="15"/>
  <c r="X41" i="15"/>
  <c r="W41" i="15"/>
  <c r="V41" i="15"/>
  <c r="AQ13" i="15"/>
  <c r="AP13" i="15"/>
  <c r="AO13" i="15"/>
  <c r="AN13" i="15"/>
  <c r="AK43" i="15"/>
  <c r="AJ43" i="15"/>
  <c r="AI43" i="15"/>
  <c r="AH43" i="15"/>
  <c r="AE13" i="15"/>
  <c r="AD13" i="15"/>
  <c r="AC13" i="15"/>
  <c r="AB13" i="15"/>
  <c r="Y33" i="15"/>
  <c r="X33" i="15"/>
  <c r="W33" i="15"/>
  <c r="V33" i="15"/>
  <c r="Y87" i="15"/>
  <c r="X87" i="15"/>
  <c r="W87" i="15"/>
  <c r="V87" i="15"/>
  <c r="H86" i="15"/>
  <c r="P5" i="15"/>
  <c r="I86" i="15"/>
  <c r="P6" i="15"/>
  <c r="J86" i="15"/>
  <c r="P7" i="15"/>
  <c r="K86" i="15"/>
  <c r="P8" i="15"/>
  <c r="P9" i="15"/>
  <c r="B86" i="15"/>
  <c r="O5" i="15"/>
  <c r="C86" i="15"/>
  <c r="O6" i="15"/>
  <c r="D86" i="15"/>
  <c r="O7" i="15"/>
  <c r="E86" i="15"/>
  <c r="O8" i="15"/>
  <c r="O9" i="15"/>
  <c r="L6" i="15"/>
  <c r="L7" i="15"/>
  <c r="L8" i="15"/>
  <c r="L9" i="15"/>
  <c r="L10" i="15"/>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8" i="15"/>
  <c r="L71" i="15"/>
  <c r="L79" i="15"/>
  <c r="L80" i="15"/>
  <c r="L72" i="15"/>
  <c r="L73" i="15"/>
  <c r="L74" i="15"/>
  <c r="L81" i="15"/>
  <c r="L82" i="15"/>
  <c r="L75" i="15"/>
  <c r="L83" i="15"/>
  <c r="L84" i="15"/>
  <c r="L76" i="15"/>
  <c r="L77" i="15"/>
  <c r="L86" i="15"/>
  <c r="F6" i="15"/>
  <c r="F7" i="15"/>
  <c r="F8" i="15"/>
  <c r="F9" i="15"/>
  <c r="F10" i="15"/>
  <c r="F11" i="15"/>
  <c r="F12" i="15"/>
  <c r="F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60" i="15"/>
  <c r="F61" i="15"/>
  <c r="F62" i="15"/>
  <c r="F63" i="15"/>
  <c r="F64" i="15"/>
  <c r="F65" i="15"/>
  <c r="F66" i="15"/>
  <c r="F67" i="15"/>
  <c r="F68" i="15"/>
  <c r="F69" i="15"/>
  <c r="F70" i="15"/>
  <c r="F78" i="15"/>
  <c r="F71" i="15"/>
  <c r="F79" i="15"/>
  <c r="F80" i="15"/>
  <c r="F72" i="15"/>
  <c r="F73" i="15"/>
  <c r="F74" i="15"/>
  <c r="F81" i="15"/>
  <c r="F82" i="15"/>
  <c r="F75" i="15"/>
  <c r="F83" i="15"/>
  <c r="F84" i="15"/>
  <c r="F76" i="15"/>
  <c r="F77" i="15"/>
  <c r="F86" i="15"/>
  <c r="AD15" i="14"/>
  <c r="N10" i="14"/>
  <c r="AC15" i="14"/>
  <c r="M10" i="14"/>
  <c r="Z55" i="14"/>
  <c r="N9" i="14"/>
  <c r="Y55" i="14"/>
  <c r="M9" i="14"/>
  <c r="V11" i="14"/>
  <c r="N8" i="14"/>
  <c r="U11" i="14"/>
  <c r="M8" i="14"/>
  <c r="R34" i="14"/>
  <c r="N7" i="14"/>
  <c r="Q34" i="14"/>
  <c r="M7" i="14"/>
  <c r="C98" i="14"/>
  <c r="F7" i="14"/>
  <c r="B98" i="14"/>
  <c r="F6" i="14"/>
  <c r="I6" i="7"/>
  <c r="I5" i="7"/>
  <c r="F6" i="7"/>
  <c r="F5" i="7"/>
  <c r="AE20" i="13"/>
  <c r="M9" i="13"/>
  <c r="AD20" i="13"/>
  <c r="L9" i="13"/>
  <c r="AA84" i="13"/>
  <c r="M10" i="13"/>
  <c r="Z84" i="13"/>
  <c r="L10" i="13"/>
  <c r="W12" i="13"/>
  <c r="M11" i="13"/>
  <c r="V12" i="13"/>
  <c r="L11" i="13"/>
  <c r="S39" i="13"/>
  <c r="M12" i="13"/>
  <c r="R39" i="13"/>
  <c r="L12" i="13"/>
  <c r="D133" i="13"/>
  <c r="I9" i="13"/>
  <c r="C133" i="13"/>
  <c r="I8" i="13"/>
  <c r="B133" i="13"/>
  <c r="I7" i="13"/>
  <c r="O12" i="13"/>
  <c r="O11" i="13"/>
  <c r="O10" i="13"/>
  <c r="I10" i="13"/>
  <c r="O9" i="13"/>
  <c r="O8" i="13"/>
  <c r="O7" i="13"/>
  <c r="E118" i="13"/>
  <c r="E117" i="13"/>
  <c r="E116" i="13"/>
  <c r="E115" i="13"/>
  <c r="E114" i="13"/>
  <c r="E113" i="13"/>
  <c r="E112" i="13"/>
  <c r="E131" i="13"/>
  <c r="E111" i="13"/>
  <c r="E110" i="13"/>
  <c r="E109" i="13"/>
  <c r="E108" i="13"/>
  <c r="E107" i="13"/>
  <c r="E106" i="13"/>
  <c r="E105" i="13"/>
  <c r="E104" i="13"/>
  <c r="E103" i="13"/>
  <c r="E102" i="13"/>
  <c r="E101" i="13"/>
  <c r="E100" i="13"/>
  <c r="E99" i="13"/>
  <c r="E98" i="13"/>
  <c r="E97" i="13"/>
  <c r="E96" i="13"/>
  <c r="E95" i="13"/>
  <c r="E94" i="13"/>
  <c r="E93" i="13"/>
  <c r="E92" i="13"/>
  <c r="E91" i="13"/>
  <c r="E90" i="13"/>
  <c r="E130" i="13"/>
  <c r="E129" i="13"/>
  <c r="E89" i="13"/>
  <c r="E88" i="13"/>
  <c r="E87" i="13"/>
  <c r="E86" i="13"/>
  <c r="E85" i="13"/>
  <c r="E84" i="13"/>
  <c r="E83" i="13"/>
  <c r="E82" i="13"/>
  <c r="E81" i="13"/>
  <c r="E80" i="13"/>
  <c r="E36" i="13"/>
  <c r="E128" i="13"/>
  <c r="E127" i="13"/>
  <c r="E126" i="13"/>
  <c r="E79" i="13"/>
  <c r="E78" i="13"/>
  <c r="E77" i="13"/>
  <c r="E41" i="13"/>
  <c r="E76" i="13"/>
  <c r="E75" i="13"/>
  <c r="E125" i="13"/>
  <c r="E74" i="13"/>
  <c r="E73" i="13"/>
  <c r="E72" i="13"/>
  <c r="E71" i="13"/>
  <c r="E70" i="13"/>
  <c r="E69" i="13"/>
  <c r="E68" i="13"/>
  <c r="E124" i="13"/>
  <c r="E67" i="13"/>
  <c r="E35" i="13"/>
  <c r="E66" i="13"/>
  <c r="E65" i="13"/>
  <c r="E40" i="13"/>
  <c r="E39" i="13"/>
  <c r="E64" i="13"/>
  <c r="E123" i="13"/>
  <c r="E63" i="13"/>
  <c r="E62" i="13"/>
  <c r="E38" i="13"/>
  <c r="E37" i="13"/>
  <c r="E34" i="13"/>
  <c r="E33" i="13"/>
  <c r="E32" i="13"/>
  <c r="E61" i="13"/>
  <c r="E122" i="13"/>
  <c r="E31" i="13"/>
  <c r="E30" i="13"/>
  <c r="E29" i="13"/>
  <c r="E28" i="13"/>
  <c r="E27" i="13"/>
  <c r="E26" i="13"/>
  <c r="E25" i="13"/>
  <c r="E24" i="13"/>
  <c r="E121" i="13"/>
  <c r="E60" i="13"/>
  <c r="E59" i="13"/>
  <c r="E58" i="13"/>
  <c r="E57" i="13"/>
  <c r="E56" i="13"/>
  <c r="E23" i="13"/>
  <c r="E22" i="13"/>
  <c r="E21" i="13"/>
  <c r="E20" i="13"/>
  <c r="E19" i="13"/>
  <c r="E18" i="13"/>
  <c r="E17" i="13"/>
  <c r="E16" i="13"/>
  <c r="E120" i="13"/>
  <c r="E119" i="13"/>
  <c r="E55" i="13"/>
  <c r="E54" i="13"/>
  <c r="E53" i="13"/>
  <c r="E52" i="13"/>
  <c r="E51" i="13"/>
  <c r="E50" i="13"/>
  <c r="E15" i="13"/>
  <c r="E14" i="13"/>
  <c r="E13" i="13"/>
  <c r="E12" i="13"/>
  <c r="E11" i="13"/>
  <c r="E10" i="13"/>
  <c r="E9" i="13"/>
  <c r="E8" i="13"/>
  <c r="E49" i="13"/>
  <c r="E7" i="13"/>
  <c r="E6" i="13"/>
  <c r="E5" i="13"/>
  <c r="E48" i="13"/>
  <c r="E47" i="13"/>
  <c r="E46" i="13"/>
  <c r="E45" i="13"/>
  <c r="E44" i="13"/>
  <c r="E43" i="13"/>
  <c r="E42" i="13"/>
  <c r="R25" i="12"/>
  <c r="I8" i="12"/>
  <c r="O93" i="12"/>
  <c r="I7" i="12"/>
  <c r="L17" i="12"/>
  <c r="I6" i="12"/>
  <c r="I47" i="12"/>
  <c r="I5" i="12"/>
  <c r="B139" i="12"/>
  <c r="F4" i="12"/>
  <c r="P6" i="9"/>
  <c r="L6" i="9"/>
  <c r="H6" i="9"/>
  <c r="I5" i="9"/>
  <c r="I4" i="9"/>
  <c r="E5" i="9"/>
  <c r="E4" i="9"/>
  <c r="D6" i="9"/>
  <c r="J34" i="8"/>
  <c r="I34" i="8"/>
  <c r="J33" i="8"/>
  <c r="I33" i="8"/>
  <c r="J32" i="8"/>
  <c r="I32" i="8"/>
  <c r="J31" i="8"/>
  <c r="I31" i="8"/>
  <c r="N7" i="8"/>
  <c r="N6" i="8"/>
  <c r="J7" i="8"/>
  <c r="J6" i="8"/>
  <c r="I8" i="8"/>
  <c r="U8" i="8"/>
  <c r="Q8" i="8"/>
  <c r="G42" i="6"/>
  <c r="D140" i="6"/>
  <c r="D142" i="6"/>
  <c r="G41" i="6"/>
  <c r="G40" i="6"/>
  <c r="H35" i="6"/>
  <c r="H34" i="6"/>
  <c r="C140" i="6"/>
  <c r="C142" i="6"/>
  <c r="G35" i="6"/>
  <c r="C143" i="6"/>
  <c r="G34" i="6"/>
  <c r="G15" i="6"/>
  <c r="B8" i="5"/>
  <c r="C8" i="5"/>
  <c r="D8" i="5"/>
  <c r="E11" i="4"/>
  <c r="B29" i="4"/>
</calcChain>
</file>

<file path=xl/sharedStrings.xml><?xml version="1.0" encoding="utf-8"?>
<sst xmlns="http://schemas.openxmlformats.org/spreadsheetml/2006/main" count="11762" uniqueCount="600">
  <si>
    <t>Country in which your institution is located</t>
  </si>
  <si>
    <t>Does your institution have *collections* that need to be preserved for future generations?</t>
  </si>
  <si>
    <t>Total number of paid staff (in *full time equivalents*, not in number of people)</t>
  </si>
  <si>
    <t>Does your organisation have a *written digital strategy*, endorsed by the management of your organisation?</t>
  </si>
  <si>
    <t>What topics does your digital strategy cover:</t>
  </si>
  <si>
    <t>Estimate the percentage of your entire heritage collection that has been catalogued in a collection database:</t>
  </si>
  <si>
    <t>Estimate the percentage of your analogue heritage collections that has already been digitally reproduced: </t>
  </si>
  <si>
    <t>Estimate the percentage of your analogue heritage collections that still needs to be digitally reproduced: </t>
  </si>
  <si>
    <t>Does your organisation have *digital collections* or is it currently involved in collection *digitisation* activities?</t>
  </si>
  <si>
    <t>What percentage of your descriptive metadata (as recorded in your collection databases) is available online for general use:</t>
  </si>
  <si>
    <t>Estimate the percentage of your digitally reproduced and born digital heritage collections that is available online for general use:</t>
  </si>
  <si>
    <t>Estimate the percentages of your entire digital collection for which the following copyright conditions apply (a. Full content).</t>
  </si>
  <si>
    <t>Estimate the percentages of your entire digital collection for which the following copyright conditions apply (b. Metadata).</t>
  </si>
  <si>
    <t>Please indicate the estimated percentage of all your digital objects that are and/or will be accessible through the access options mentioned:</t>
  </si>
  <si>
    <t>For the online part, please indicate through which channels in the table below:</t>
  </si>
  <si>
    <t>Did your organisation collect user statistics for the digital collections in 2016?</t>
  </si>
  <si>
    <t>If Yes, how?</t>
  </si>
  <si>
    <t>What is the number of visits to your digital collections at the website of your institution?</t>
  </si>
  <si>
    <t>Are (parts of) your digital collections stored in digital archives that have been set up according to *international standards* for *digital preservation*?</t>
  </si>
  <si>
    <t>Please estimate your annual expenditure on your *digital collections* (*total cost of ownership*). Please estimate the budget concerned (€):</t>
  </si>
  <si>
    <t>Please specify the year concerned:&lt;br /&gt;&lt;br /&gt;&lt;br /&gt;</t>
  </si>
  <si>
    <t>Please estimate what percentage of the total annual expenditures on creating/acquiring, maintaining, enhancing and preserving your *digital collections* can be assigned to *incidental costs* and what percentage can be assigned to *structural costs*:</t>
  </si>
  <si>
    <t>Please estimate what percentage of the total annual expenditures on creating/acquiring, maintaining, enhancing and preserving your *digital collections* is spent *In-house* and what percentage is *Outsourced*:</t>
  </si>
  <si>
    <t>Please estimate what percentages of the *Incidental costs* can be assigned to the following activities:</t>
  </si>
  <si>
    <t>Other costs:</t>
  </si>
  <si>
    <t>Please estimate what percentages of the *Structural costs* can be assigned to the following activities:</t>
  </si>
  <si>
    <t>Other costs: </t>
  </si>
  <si>
    <t>What is the total number of people (in full-time equivalent) engaged in creating/acquiring, maintaining, enhancing and preserving your *digital collections* on an annual basis?</t>
  </si>
  <si>
    <t>Please specify the year concerned:&lt;br /&gt;&lt;br /&gt;&lt;br /&gt;&lt;br /&gt;</t>
  </si>
  <si>
    <t>From what sources are your digital collection activities funded?</t>
  </si>
  <si>
    <t>Other (please specify)</t>
  </si>
  <si>
    <t>digitisation of analogue collections</t>
  </si>
  <si>
    <t>selection and acquisition of digital collections</t>
  </si>
  <si>
    <t>publishing your digital collections</t>
  </si>
  <si>
    <t>*long-term digital preservation*</t>
  </si>
  <si>
    <t>Open-Ended Response</t>
  </si>
  <si>
    <t>% Public domain</t>
  </si>
  <si>
    <t>% Copyright ownership is held by the institution</t>
  </si>
  <si>
    <t>% Copyright ownership is held by a third party</t>
  </si>
  <si>
    <t>% Copyright conditions other/unknown</t>
  </si>
  <si>
    <t>% Offline only (for staff use only)</t>
  </si>
  <si>
    <t>% Offline only (for staff use and visitors on site)</t>
  </si>
  <si>
    <t>% Online</t>
  </si>
  <si>
    <t>*Institutional website* - % of digital objects currently accessible &lt;br /&gt;(estimation is OK)</t>
  </si>
  <si>
    <t>*Institutional website* - % of digital objects accessible 2 years from now &lt;br /&gt;(estimation is OK)</t>
  </si>
  <si>
    <t>*National aggregator* - % of digital objects currently accessible &lt;br /&gt;(estimation is OK)</t>
  </si>
  <si>
    <t>*National aggregator* - % of digital objects accessible 2 years from now &lt;br /&gt;(estimation is OK)</t>
  </si>
  <si>
    <t>*Europeana* - % of digital objects currently accessible &lt;br /&gt;(estimation is OK)</t>
  </si>
  <si>
    <t>*Europeana* - % of digital objects accessible 2 years from now &lt;br /&gt;(estimation is OK)</t>
  </si>
  <si>
    <t>*Other aggregator* - % of digital objects currently accessible &lt;br /&gt;(estimation is OK)</t>
  </si>
  <si>
    <t>*Other aggregator* - % of digital objects accessible 2 years from now &lt;br /&gt;(estimation is OK)</t>
  </si>
  <si>
    <t>*Wikipedia/Wikimedia* - % of digital objects currently accessible &lt;br /&gt;(estimation is OK)</t>
  </si>
  <si>
    <t>*Wikipedia/Wikimedia* - % of digital objects accessible 2 years from now &lt;br /&gt;(estimation is OK)</t>
  </si>
  <si>
    <t>Other *Social media platforms* like Flickr, YouTube, Facebook - % of digital objects currently accessible &lt;br /&gt;(estimation is OK)</t>
  </si>
  <si>
    <t>Other *Social media platforms* like Flickr, YouTube, Facebook - % of digital objects accessible 2 years from now &lt;br /&gt;(estimation is OK)</t>
  </si>
  <si>
    <t>Institutional *API* - % of digital objects currently accessible &lt;br /&gt;(estimation is OK)</t>
  </si>
  <si>
    <t>Institutional *API* - % of digital objects accessible 2 years from now &lt;br /&gt;(estimation is OK)</t>
  </si>
  <si>
    <t>3rd party *API* - % of digital objects currently accessible &lt;br /&gt;(estimation is OK)</t>
  </si>
  <si>
    <t>3rd party *API* - % of digital objects accessible 2 years from now &lt;br /&gt;(estimation is OK)</t>
  </si>
  <si>
    <t>Other Access channels (specify below) - % of digital objects currently accessible &lt;br /&gt;(estimation is OK)</t>
  </si>
  <si>
    <t>Other Access channels (specify below) - % of digital objects accessible 2 years from now &lt;br /&gt;(estimation is OK)</t>
  </si>
  <si>
    <t>Other Access channels: </t>
  </si>
  <si>
    <t>Academic research</t>
  </si>
  <si>
    <t>Creative reuse/Remix</t>
  </si>
  <si>
    <t>Educational use</t>
  </si>
  <si>
    <t>Ideological, religious and commemorative use</t>
  </si>
  <si>
    <t>Personal enjoyment</t>
  </si>
  <si>
    <t>Reducing the use of the physical originals</t>
  </si>
  <si>
    <t>Sales, commercial licencing</t>
  </si>
  <si>
    <t>Other types of use (specify below)</t>
  </si>
  <si>
    <t>Other types of use:</t>
  </si>
  <si>
    <t>*Website statistics*</t>
  </si>
  <si>
    <t>(National) aggregator statistics</t>
  </si>
  <si>
    <t>Europeana (Dashboard) statistics</t>
  </si>
  <si>
    <t>Wikipedia/Wikimedia statistics</t>
  </si>
  <si>
    <t>*Database statistics* (not included in Website statistics and Social media statistics)</t>
  </si>
  <si>
    <t>*User studies*</t>
  </si>
  <si>
    <t>A. € Institutional expenditure (internal budget): </t>
  </si>
  <si>
    <t>B. € Temporary funded project expenditure (external budget): </t>
  </si>
  <si>
    <t>A. Please specify the year concerned:</t>
  </si>
  <si>
    <t>B. Please specify the year concerned:</t>
  </si>
  <si>
    <t>% incidental costs:</t>
  </si>
  <si>
    <t>% structural costs:</t>
  </si>
  <si>
    <t>% In-house costs:</t>
  </si>
  <si>
    <t>% Outsourced costs:</t>
  </si>
  <si>
    <t>Project management</t>
  </si>
  <si>
    <t>Selection of material for digitisation</t>
  </si>
  <si>
    <t>Acquisition of digital born material</t>
  </si>
  <si>
    <t>Logistics (shipment of collection for digitisation, etc.)</t>
  </si>
  <si>
    <t>Analogue to digital conversion (including all technical and staff costs associated with the act of preparing materials for scanning, the scanning itself, and quality control)</t>
  </si>
  <si>
    <t>Copyright clearance</t>
  </si>
  <si>
    <t>Metadata creation</t>
  </si>
  <si>
    <t>Web design, software development</t>
  </si>
  <si>
    <t>Other costs (specify below)</t>
  </si>
  <si>
    <t>Management</t>
  </si>
  <si>
    <t>Archiving (storage, including backups)</t>
  </si>
  <si>
    <t>Activities concerning the long-term preservation of the digital collection (including research activities but excluding Archiving costs)</t>
  </si>
  <si>
    <t>Licences</t>
  </si>
  <si>
    <t>Maintenance of webservers and web, mobile and other services</t>
  </si>
  <si>
    <t>User outreach and support (including staff time for efforts to promote the use of the digital collections)</t>
  </si>
  <si>
    <t>Usage analysis (including user surveys, interviews, and other activities)</t>
  </si>
  <si>
    <t>Editorial (including content selection and updating)</t>
  </si>
  <si>
    <t>*Internal budgets*</t>
  </si>
  <si>
    <t>*Crowdfunding*</t>
  </si>
  <si>
    <t>*National Public grant/subsidy*</t>
  </si>
  <si>
    <t>*Regional/Local Public grant/subsidy*</t>
  </si>
  <si>
    <t>*Private funds and legacies*</t>
  </si>
  <si>
    <t>*Public/private partnership*</t>
  </si>
  <si>
    <t>*Sales of digital items*</t>
  </si>
  <si>
    <t>Yes</t>
  </si>
  <si>
    <t>&lt; 10,000 €</t>
  </si>
  <si>
    <t>No</t>
  </si>
  <si>
    <t>50,000-100,000 €</t>
  </si>
  <si>
    <t>Yes, our digital collections are archived in a publicly managed professional digital archive</t>
  </si>
  <si>
    <t>&gt; 10M €</t>
  </si>
  <si>
    <t>Yes, we have our own digital archive that meets the international criteria for long term preservation</t>
  </si>
  <si>
    <t>1 - 10M €</t>
  </si>
  <si>
    <t>No, we do not have a solution yet for the long term preservation of our digital collections based on international standards</t>
  </si>
  <si>
    <t>500,000-1M €</t>
  </si>
  <si>
    <t>Do not know</t>
  </si>
  <si>
    <t>100,000-500,000 €</t>
  </si>
  <si>
    <t>Yes, our digital collections are archived in a privately managed professional digital archive</t>
  </si>
  <si>
    <t>10,000-50,000 €</t>
  </si>
  <si>
    <t>-</t>
  </si>
  <si>
    <t>Marketing organisatie via website bijv.</t>
  </si>
  <si>
    <t>themaportals met specifieke delen van de collectie en open data</t>
  </si>
  <si>
    <t>via portals</t>
  </si>
  <si>
    <t>PHAROS is andere aggregator. World Cat is ander kanaal API</t>
  </si>
  <si>
    <t>Digital Humanities onderzoek en gebruik</t>
  </si>
  <si>
    <t>subsidie</t>
  </si>
  <si>
    <t xml:space="preserve"> Hollandse hoogte: 30% (vd fotocollectie)</t>
  </si>
  <si>
    <t>www.vangoghletters.org</t>
  </si>
  <si>
    <t>nvt</t>
  </si>
  <si>
    <t>inkoop, aanvragen, afstemming derden, intern overleg</t>
  </si>
  <si>
    <t>Linked Data registry i.k.v. Netwerk Digitaal Erfgoed</t>
  </si>
  <si>
    <t>Inspireren/educatief (buiten onderwijs om)</t>
  </si>
  <si>
    <t>geen</t>
  </si>
  <si>
    <t>om te verwerken in eigen producten, Nieuwsbrief, etc</t>
  </si>
  <si>
    <t>identiteit van de stad</t>
  </si>
  <si>
    <t>branchonderzoek archiefinstellingen Nederland</t>
  </si>
  <si>
    <t>counter gegevens</t>
  </si>
  <si>
    <t>Collectie Gelderland</t>
  </si>
  <si>
    <t>nee</t>
  </si>
  <si>
    <t>fotografie</t>
  </si>
  <si>
    <t>Nationaal Archief</t>
  </si>
  <si>
    <t>donateurs</t>
  </si>
  <si>
    <t>maritiem digitaal</t>
  </si>
  <si>
    <t>Maritiem Digitaal</t>
  </si>
  <si>
    <t>maritiemdigitaal</t>
  </si>
  <si>
    <t>Dierentuin</t>
  </si>
  <si>
    <t xml:space="preserve">behouden en zichtbaarheid van het ambacht moutwijn maken (immaterieel erfgoed) ook digitaal </t>
  </si>
  <si>
    <t>domeinregistratie, hosting website, PR via FB</t>
  </si>
  <si>
    <t xml:space="preserve">Heemkundig gebruik </t>
  </si>
  <si>
    <t xml:space="preserve">geen kosten </t>
  </si>
  <si>
    <t>Google Art</t>
  </si>
  <si>
    <t>collectiemobiliteit (bruikleenverkeer)</t>
  </si>
  <si>
    <t>onder gedenken versta ik ook jubileumboeken e.d. Dat is bij ons heel belangrijk.</t>
  </si>
  <si>
    <t>Wij hebben een publieke tak: Alles  van belang</t>
  </si>
  <si>
    <t>NB geen scheiding te maken in incidenteel / structureel</t>
  </si>
  <si>
    <t>SInds 2015 geen inkomsten uit verkoop meer ikv wet hergerbuik</t>
  </si>
  <si>
    <t>Bewijsfunctie van activiteiten die in het verleden hebben plaatsgevonden</t>
  </si>
  <si>
    <t>de ree archiefsystemen</t>
  </si>
  <si>
    <t>niet-wetenschappelijk onderzoek, bijv. genealogie</t>
  </si>
  <si>
    <t>tentoongesteld in het museum via digitale technieken</t>
  </si>
  <si>
    <t>erfgoed brabant - thuis in brabant</t>
  </si>
  <si>
    <t>Other *Social media statistics* (e.g. Youtube, Facebook, Flickr, Pinterest)</t>
  </si>
  <si>
    <t>The Netherlands</t>
  </si>
  <si>
    <t>yes</t>
  </si>
  <si>
    <t xml:space="preserve">Country </t>
  </si>
  <si>
    <t>Annual budget</t>
  </si>
  <si>
    <t>total paid staff</t>
  </si>
  <si>
    <t>Written digitisation strategy</t>
  </si>
  <si>
    <t>Collection born digital</t>
  </si>
  <si>
    <t>(01) TEXT BASED RESOURCES - analogue </t>
  </si>
  <si>
    <t>(01) TEXT BASED RESOURCES - In digital collection </t>
  </si>
  <si>
    <t>(01) TEXT BASED RESOURCES - Not applicable</t>
  </si>
  <si>
    <t>(02)  VISUAL (2D) RESOURCES - In analogue collection </t>
  </si>
  <si>
    <t>(02)  VISUAL (2D) RESOURCES- In digital collection </t>
  </si>
  <si>
    <t>(02)  VISUAL (2D) RESOURCES - Not applicable</t>
  </si>
  <si>
    <t>(03) ARCHIVAL RECORDS - In analogue collection </t>
  </si>
  <si>
    <t>(03) ARCHIVAL RECORDS - In digital collection </t>
  </si>
  <si>
    <t>(03) ARCHIVAL RECORDS - Not applicable</t>
  </si>
  <si>
    <t>(04) 3D MAN-MADE MOVABLE OBJECTS - In analogue collection </t>
  </si>
  <si>
    <t>(04) 3D MAN-MADE MOVABLE OBJECTS - In digital collection </t>
  </si>
  <si>
    <t>(04) 3D MAN-MADE MOVABLE OBJECTS - Not applicable</t>
  </si>
  <si>
    <t>(05) NATURAL RESOURCES - In analogue collection </t>
  </si>
  <si>
    <t>(05) NATURAL RESOURCES - In digital collection </t>
  </si>
  <si>
    <t>(05) NATURAL RESOURCES - Not applicable</t>
  </si>
  <si>
    <t>(06) GEOGRAPHY BASED RESOURCES - In analogue collection </t>
  </si>
  <si>
    <t>(06) GEOGRAPHY BASED RESOURCES - In digital collection </t>
  </si>
  <si>
    <t>(06) GEOGRAPHY BASED RESOURCES - Not applicable</t>
  </si>
  <si>
    <t>(07) TIME BASED RESOURCES - In analogue collection </t>
  </si>
  <si>
    <t>(07) TIME BASED RESOURCES - In digital collection </t>
  </si>
  <si>
    <t>(07) TIME BASED RESOURCES - Not applicable</t>
  </si>
  <si>
    <t>(08) DIGITAL INTERACTIVE RESOURCES (EXCLUSIVELY DIGITAL) - In analogue collection </t>
  </si>
  <si>
    <t>(08) DIGITAL INTERACTIVE RESOURCES (EXCLUSIVELY DIGITAL) - In digital collection </t>
  </si>
  <si>
    <t>(08) DIGITAL INTERACTIVE RESOURCES (EXCLUSIVELY DIGITAL) - Not applicable</t>
  </si>
  <si>
    <t>Percentage collection catalogued in database</t>
  </si>
  <si>
    <t>Percentage analogue reproduced</t>
  </si>
  <si>
    <t>Percentage analogue needs to be reproduced</t>
  </si>
  <si>
    <t>Digitisation or activities</t>
  </si>
  <si>
    <t>percentage of metadata is available online for general use</t>
  </si>
  <si>
    <t xml:space="preserve"> percentage of digitally reproduced and born digital heritage collections available online for general use</t>
  </si>
  <si>
    <t>User statistics yes/no</t>
  </si>
  <si>
    <t>Number of website visits</t>
  </si>
  <si>
    <t>Storage of digital collection</t>
  </si>
  <si>
    <t>A. FTE Paid staff: </t>
  </si>
  <si>
    <t>B. FTE Volunteers: </t>
  </si>
  <si>
    <t>A. Year Paid Staff</t>
  </si>
  <si>
    <t>B. Year Volunteers</t>
  </si>
  <si>
    <t>Institution type NED</t>
  </si>
  <si>
    <t>Archief (overig)</t>
  </si>
  <si>
    <t>Audiovisueel archief</t>
  </si>
  <si>
    <t>Filminstituut</t>
  </si>
  <si>
    <t>Institution type NED genormaliseerd</t>
  </si>
  <si>
    <t>Overig</t>
  </si>
  <si>
    <t>Kunstmuseum</t>
  </si>
  <si>
    <t>Data-archief</t>
  </si>
  <si>
    <t>Presentatieinstelling</t>
  </si>
  <si>
    <t>Onderwijsinstelling</t>
  </si>
  <si>
    <t>Herinneringscentrum</t>
  </si>
  <si>
    <t>Openbare bibliotheek</t>
  </si>
  <si>
    <t>Type/Domein van uw instelling of organisatie</t>
  </si>
  <si>
    <t>Bibliotheek voor het hoger onderwijs</t>
  </si>
  <si>
    <t>Historisch of archeologisch museum</t>
  </si>
  <si>
    <t>Antropologisch- of etnologisch museum</t>
  </si>
  <si>
    <t>Natuurhistorisch of natuurwetenschappelijk museum</t>
  </si>
  <si>
    <t>Technologie- of wetenschapsmuseum</t>
  </si>
  <si>
    <t>Nationale Bibliotheek</t>
  </si>
  <si>
    <t>Erfgoedbrede instelling</t>
  </si>
  <si>
    <t>Bouwhistorische instelling</t>
  </si>
  <si>
    <t>Museum (overig)</t>
  </si>
  <si>
    <t>Speciale of overig type bibliotheek</t>
  </si>
  <si>
    <t>Digitaliseringsbedrijf</t>
  </si>
  <si>
    <t>Specifiek</t>
  </si>
  <si>
    <t>Genormaliseerd</t>
  </si>
  <si>
    <t>Archieven</t>
  </si>
  <si>
    <t>Bibliotheken</t>
  </si>
  <si>
    <t>Musea</t>
  </si>
  <si>
    <t>Ja</t>
  </si>
  <si>
    <t>Nee</t>
  </si>
  <si>
    <t>Vanaf deze vraag is de populatie: 148</t>
  </si>
  <si>
    <t>Instellingen zonder erfgoedtaak behoren niet tot de doelgroep van dit onderzoek</t>
  </si>
  <si>
    <t>Type instelling</t>
  </si>
  <si>
    <t>Budgetcategorie</t>
  </si>
  <si>
    <t>Budgetcategorie (genormaliseerd)</t>
  </si>
  <si>
    <t>gemiddeld</t>
  </si>
  <si>
    <t>mediaan</t>
  </si>
  <si>
    <t>Type instellingen</t>
  </si>
  <si>
    <t>Totaalbudget alle respondenten</t>
  </si>
  <si>
    <t>Gemiddeld budget</t>
  </si>
  <si>
    <t>Mediaan</t>
  </si>
  <si>
    <t>Aantal FTE</t>
  </si>
  <si>
    <t>n=133</t>
  </si>
  <si>
    <t>totaal</t>
  </si>
  <si>
    <t>Totaal aantal FTE</t>
  </si>
  <si>
    <t>Gemiddeld aantal</t>
  </si>
  <si>
    <t>Digitalisering analoge collecties</t>
  </si>
  <si>
    <t>Selectie/verwerving digitale collecties</t>
  </si>
  <si>
    <t>Online aanbieden van collecties</t>
  </si>
  <si>
    <t>Digitale duurzaamheid</t>
  </si>
  <si>
    <t>ja</t>
  </si>
  <si>
    <t>Weet niet</t>
  </si>
  <si>
    <t>n=105</t>
  </si>
  <si>
    <t>n=139</t>
  </si>
  <si>
    <t>n=114</t>
  </si>
  <si>
    <t>n=137</t>
  </si>
  <si>
    <t>Onderwerpen in digitaliseringbeleid (n=76)</t>
  </si>
  <si>
    <t>7. Bestaat er binnen uw organisatie een vastgesteld digitaliseringsbeleid, dat wordt onderschreven door het management van uw organisatie?</t>
  </si>
  <si>
    <t>n=111</t>
  </si>
  <si>
    <t>n=131</t>
  </si>
  <si>
    <t>n=98</t>
  </si>
  <si>
    <t>Born digital per domein</t>
  </si>
  <si>
    <t>Archieven (n=36)</t>
  </si>
  <si>
    <t>Bibliotheken (n=5)</t>
  </si>
  <si>
    <t>Musea (n=78)</t>
  </si>
  <si>
    <t>Overig (n=12)</t>
  </si>
  <si>
    <t>Per sector</t>
  </si>
  <si>
    <t>% digitaal beschreven</t>
  </si>
  <si>
    <t>Erfgoedbreed (n=134)</t>
  </si>
  <si>
    <t>Archieven (n=35)</t>
  </si>
  <si>
    <t>Musea (n=81)</t>
  </si>
  <si>
    <t>Overig (n=13)</t>
  </si>
  <si>
    <t>Totaal (n=134)</t>
  </si>
  <si>
    <t xml:space="preserve">Gedaan </t>
  </si>
  <si>
    <t>Moet nog</t>
  </si>
  <si>
    <t>Niet nodig</t>
  </si>
  <si>
    <t>Erfgoedbreed</t>
  </si>
  <si>
    <t>% collectie gedigitaliseerd</t>
  </si>
  <si>
    <t>% collectie nog te digitaliseren</t>
  </si>
  <si>
    <t>% collectie niet digitaliseren</t>
  </si>
  <si>
    <t>n = 127</t>
  </si>
  <si>
    <t xml:space="preserve"> </t>
  </si>
  <si>
    <t>Totaal gem. (n=127)</t>
  </si>
  <si>
    <t>Archieven (n=32)</t>
  </si>
  <si>
    <t>Musea (n=77)</t>
  </si>
  <si>
    <t>n=121</t>
  </si>
  <si>
    <t>n=135</t>
  </si>
  <si>
    <t>n=141</t>
  </si>
  <si>
    <t>Per domein</t>
  </si>
  <si>
    <t>Overig (n=14)</t>
  </si>
  <si>
    <t>Metadata online</t>
  </si>
  <si>
    <t>Collectie online</t>
  </si>
  <si>
    <t>n=91</t>
  </si>
  <si>
    <t>% metadata online</t>
  </si>
  <si>
    <t>% collectie online</t>
  </si>
  <si>
    <t>metadata</t>
  </si>
  <si>
    <t>collectie</t>
  </si>
  <si>
    <t>Archieven (n=28)</t>
  </si>
  <si>
    <t>Musea (n=49)</t>
  </si>
  <si>
    <t>Overig (n=9)</t>
  </si>
  <si>
    <t>Totaal (n=91)</t>
  </si>
  <si>
    <t>Digitale reproducties ("full content")</t>
  </si>
  <si>
    <t>Metadata</t>
  </si>
  <si>
    <t>Publiek domein</t>
  </si>
  <si>
    <t>Bij de instelling</t>
  </si>
  <si>
    <t>Bij derden</t>
  </si>
  <si>
    <t>Onbekend</t>
  </si>
  <si>
    <t>Full content</t>
  </si>
  <si>
    <t>Archieven (n=25)</t>
  </si>
  <si>
    <t>Musea (n=35)</t>
  </si>
  <si>
    <t>Overig (n=6)</t>
  </si>
  <si>
    <t>Archieven (n=26)</t>
  </si>
  <si>
    <t>Musea (n=41)</t>
  </si>
  <si>
    <t>Overig (n=7)</t>
  </si>
  <si>
    <t>2. Type/Domein van uw instelling of organisatie</t>
  </si>
  <si>
    <t>Adresgegevens</t>
  </si>
  <si>
    <t>Land waar de instelling zich bevindt</t>
  </si>
  <si>
    <t>Heeft uw instelling collecties die behouden moeten worden voor toekomstige generaties?</t>
  </si>
  <si>
    <t>Wat is het totale jaarlijkse budget van uw instelling?</t>
  </si>
  <si>
    <t>Zo ja, welke onderwerpen worden door het digitaliseringsbeleid geaddresseerd</t>
  </si>
  <si>
    <t>Selecteer a.u.b de objecttypes die onderdeel uitmaken van de erfgoedcollecties van uw instelling</t>
  </si>
  <si>
    <t>Schat het percentage van uw volledige erfgoedcollectie dat opgenomen is in een collectiedatabase</t>
  </si>
  <si>
    <t>Schat het percentage van uw analoge erfgoedcollecties dat al digitaal gereproduceerd is</t>
  </si>
  <si>
    <t>Schat het percentage van uw analoge erfgoedcollecties dat nog digitaal gereproduceerd moet worden</t>
  </si>
  <si>
    <t>Bezit uw instelling digitale collecties of is zij momenteel betrokken bij activiteiten op het gebied van digitalisering?</t>
  </si>
  <si>
    <t>Schat het percentage van uw beschrijvingen (zoals opgeslagen in de collectiedatabase) dat online beschikbaar is voor algemeen gebruik</t>
  </si>
  <si>
    <t>Schat het percentage van uw digitale collectie (inclusief born-digital) dat online beschikbaar is voor algemeen gebruik</t>
  </si>
  <si>
    <t>Schat het percentage van alle digitale objecten dat beschikbaar is/zal zijn via de volgende kanalen</t>
  </si>
  <si>
    <t>Geef aan via welke onderstaande kanalen de online collectie beschikbaar is</t>
  </si>
  <si>
    <t>Digitale collecties worden met uiteenlopende bedoelingen toegankelijk gemaakt. Hoe belangrijk zijn de onderstaande vormen van gebruik voor uw instelling?</t>
  </si>
  <si>
    <t>Verzamelde uw organisatie gebruiksstatistieken inzake de digitale collecties in 2016?</t>
  </si>
  <si>
    <t>Zo ja, hoe?</t>
  </si>
  <si>
    <t>Wat is het jaarlijkse aantal bezoeken van de digitale collecties op de website van uw instelling?</t>
  </si>
  <si>
    <t>Zijn (delen van) uw digitale collecties opgeslagen in digitale depots die opgezet zijn volgens international standaarden voor digitale duurzaamheid?</t>
  </si>
  <si>
    <t>Schat de jaarlijkse uitgaven aan de *digitale collecties* van uw instelling (total cost of ownership). Omvang van de uitgaven (€) (schatting is OK):</t>
  </si>
  <si>
    <t>Jaar waarop dit betrekking heeft:</t>
  </si>
  <si>
    <t>Jaar waarop dit betrekking heeft</t>
  </si>
  <si>
    <t>Schat welk percentage van de jaarlijkse uitgaven van uw organisatie aan het opbouwen, onderhouden, verbeteren en duurzaam beheren van de *digitale collecties* wordt besteed aan incidentele kosten en welk percentage aan structurele kosten</t>
  </si>
  <si>
    <t>Schat welk percentage van de jaarlijkse uitgaven van uw organisatie aan het opbouwen, onderhouden, verbeteren en duurzaam beheren van digitale collecties binnen uw instelling (In-house ) wordt besteed en welk percentage wordt uitbesteed (Outsourced)</t>
  </si>
  <si>
    <t>Schat welk percentage van de *Incidentele kosten* kan worden toegeschreven aan de volgende activiteiten</t>
  </si>
  <si>
    <t>Overige kosten</t>
  </si>
  <si>
    <t>Schat welk percentage van de Structurele kosten kan worden toegeschreven aan de volgende activiteiten</t>
  </si>
  <si>
    <t>Hoe groot is het aantal personen (in full-time equivalenten) dat op jaarbasis betrokken is bij het opbouwen, onderhouden, verbeteren en duurzaam beheren van uw digitale collecties?</t>
  </si>
  <si>
    <t>Uit welke bronnen worden uw digitale collecties bekostigd?</t>
  </si>
  <si>
    <t>Aanvullende opmerkingen</t>
  </si>
  <si>
    <t>1. Adresgegevens (niet gepubliceerd)</t>
  </si>
  <si>
    <t>4. Heeft uw instelling collecties die behouden moeten worden voor toekomstige generaties?</t>
  </si>
  <si>
    <t>3. Land waar de instelling zich bevindt [= Nederland]</t>
  </si>
  <si>
    <t>5. Wat is het totale jaarlijkse budget van uw instelling?</t>
  </si>
  <si>
    <t xml:space="preserve">6. Wat is het totale aantal betaalde medewerkers bij uw instelling (in full time equivalenten (FTE), niet in het aantal mensen) </t>
  </si>
  <si>
    <t>Wat is het totale aantal betaalde medewerkers bij uw instelling (in full time equivalenten (FTE), niet in het aantal mensen)</t>
  </si>
  <si>
    <t>Bestaat er binnen uw organisatie een vastgesteld digitaliseringsbeleid, dat wordt onderschreven door het management van uw organisatie?</t>
  </si>
  <si>
    <t>8. Zo ja, welke onderwerpen worden door het digitaliseringsbeleid geaddresseerd:</t>
  </si>
  <si>
    <t>Verzamelt uw instelling born digital erfgoed?</t>
  </si>
  <si>
    <t>9. Verzamelt uw instelling born digital erfgoed?</t>
  </si>
  <si>
    <t>10. Selecteer a.u.b de objecttypes die onderdeel uitmaken van de erfgoedcollecties van uw instelling.</t>
  </si>
  <si>
    <t>11. Schat het percentage van uw volledige erfgoedcollectie dat opgenomen is in een collectiedatabase</t>
  </si>
  <si>
    <t>12. Schat het percentage van uw analoge erfgoedcollecties dat al digitaal gereproduceerd is</t>
  </si>
  <si>
    <t>13. Schat het percentage van uw analoge erfgoedcollecties dat nog digitaal gereproduceerd moet worden:</t>
  </si>
  <si>
    <t>14. Bezit uw instelling digitale collecties of is zij momenteel betrokken bij activiteiten op het gebied van digitalisering?</t>
  </si>
  <si>
    <t>15. Schat het percentage van uw beschrijvingen (zoals opgeslagen in de collectiedatabase) dat online beschikbaar is voor algemeen gebruik:</t>
  </si>
  <si>
    <t>16. Schat het percentage van uw digitale collectie (inclusief born-digital) dat online beschikbaar is voor algemeen gebruik:</t>
  </si>
  <si>
    <t>Schat de percentages van uw totale digitale collectie waarvoor de volgende auteursrechtelijke voorwaarden gelden A. Digitale reproducties ("full content")</t>
  </si>
  <si>
    <t>Schat de percentages van uw totale digitale collectie waarvoor de volgende auteursrechtelijke voorwaarden gelden (B. Metadata)</t>
  </si>
  <si>
    <t>18. Schat de percentages van uw totale digitale collectie waarvoor de volgende auteursrechtelijke voorwaarden gelden. (B. Metadata)</t>
  </si>
  <si>
    <t>17. Schat de percentages van uw totale digitale collectie waarvoor de volgende auteursrechtelijke voorwaarden gelden (A. Digitale reproducties ("full content"))</t>
  </si>
  <si>
    <t>% Alleen offline (voor medewerkers en voor bezoekers)</t>
  </si>
  <si>
    <t>% Alleen offline (intern gebruik)</t>
  </si>
  <si>
    <t>20 Geef aan via welke onderstaande kanalen de online collectie beschikbaar is</t>
  </si>
  <si>
    <t>Institutionele website</t>
  </si>
  <si>
    <t>Nationale aggregator</t>
  </si>
  <si>
    <t>Europeana</t>
  </si>
  <si>
    <t>Ander type aggregator</t>
  </si>
  <si>
    <t>Wikipedia/Wikimedia</t>
  </si>
  <si>
    <t>Andere Sociale media platforms</t>
  </si>
  <si>
    <t>Anders</t>
  </si>
  <si>
    <t>Institutionele website: nu</t>
  </si>
  <si>
    <t>Institutionele website: over 2 jaar</t>
  </si>
  <si>
    <t>Nationale aggregator: nu</t>
  </si>
  <si>
    <t>Europeana: nu</t>
  </si>
  <si>
    <t>Ander type aggregator: nu</t>
  </si>
  <si>
    <t>Wikipedia/Wikimedia:nu</t>
  </si>
  <si>
    <t>Nationale aggregator: over 2 jaar</t>
  </si>
  <si>
    <t>Europeana: over 2 jaar</t>
  </si>
  <si>
    <t>Ander type aggregator: over 2 jaar</t>
  </si>
  <si>
    <t>Wikipedia/Wikimedia: over 2 jaar</t>
  </si>
  <si>
    <t>Andere Sociale media platforms: nu</t>
  </si>
  <si>
    <t>Andere Sociale media platforms: over 2 jaar</t>
  </si>
  <si>
    <t>Institutionele *API*: nu</t>
  </si>
  <si>
    <t>Institutionele *API*: over 2 jaar</t>
  </si>
  <si>
    <t>*API* van derden: nu</t>
  </si>
  <si>
    <t>*API* van derden: over 2 jaar</t>
  </si>
  <si>
    <t>Anders: nu</t>
  </si>
  <si>
    <t>Anders: over 2 jaar</t>
  </si>
  <si>
    <t>Andere toegangskanalen</t>
  </si>
  <si>
    <t>n=71</t>
  </si>
  <si>
    <t>n=65</t>
  </si>
  <si>
    <t>n=39</t>
  </si>
  <si>
    <t>n=36</t>
  </si>
  <si>
    <t>n=41</t>
  </si>
  <si>
    <t>n=18</t>
  </si>
  <si>
    <t>n=21</t>
  </si>
  <si>
    <t>n=19</t>
  </si>
  <si>
    <t>n=1</t>
  </si>
  <si>
    <t>n=?</t>
  </si>
  <si>
    <t>n=20</t>
  </si>
  <si>
    <t>n=7</t>
  </si>
  <si>
    <t>n=47</t>
  </si>
  <si>
    <t>19. Schat het percentage van alle digitale objecten dat beschikbaar is/zal zijn via de volgende kanalen</t>
  </si>
  <si>
    <t xml:space="preserve">Helaas onbetrouwbare data ontvangen op deze dubbelzinnig geformuleerde vraag. </t>
  </si>
  <si>
    <t>Vermoedelijk hebben veel instellingen een hoog aantal bij online ingevuld als wenselijk ('zal zijn') in de vraag, en niet als de huidige situatie (zie daarvoor ook vraag 16)</t>
  </si>
  <si>
    <t>Totaal: n=81</t>
  </si>
  <si>
    <t>Institutionele API</t>
  </si>
  <si>
    <t>API van derden</t>
  </si>
  <si>
    <t>21. Digitale collecties worden met uiteenlopende bedoelingen toegankelijk gemaakt. Hoe belangrijk zijn de onderstaande vormen van gebruik voor uw instelling?</t>
  </si>
  <si>
    <t>Andere kanalen:</t>
  </si>
  <si>
    <t>Wetenschappelijk onderzoek</t>
  </si>
  <si>
    <t>Creatief (her-)gebruik/Remix</t>
  </si>
  <si>
    <t>Gebruik in het onderwijs</t>
  </si>
  <si>
    <t>Ideologisch en/of religieus gebruik, gedenken</t>
  </si>
  <si>
    <t>Individueel genoegen</t>
  </si>
  <si>
    <t>Bescherming/behoud van de fysieke originelen</t>
  </si>
  <si>
    <t>Commerciële doelen (verkoop, licenties)</t>
  </si>
  <si>
    <t>Andere soorten van gebruik</t>
  </si>
  <si>
    <t>Anders, te weten</t>
  </si>
  <si>
    <t>Wij hebben een publieke taak: Alles  van belang</t>
  </si>
  <si>
    <t>n=89</t>
  </si>
  <si>
    <t>Anders:</t>
  </si>
  <si>
    <t>n=84</t>
  </si>
  <si>
    <t>n=83</t>
  </si>
  <si>
    <t>n=87</t>
  </si>
  <si>
    <t>n=88</t>
  </si>
  <si>
    <t>n=26</t>
  </si>
  <si>
    <t>22. Verzamelde uw organisatie gebruiksstatistieken inzake de digitale collecties in 2016?</t>
  </si>
  <si>
    <t>Website statistieken</t>
  </si>
  <si>
    <t>Statistieken van (nationale) aggregatoren</t>
  </si>
  <si>
    <t>Gebruikersonderzoek</t>
  </si>
  <si>
    <t>Overige, namelijk</t>
  </si>
  <si>
    <t>n=77</t>
  </si>
  <si>
    <t>Statistieken van Europeana (Dashboard)</t>
  </si>
  <si>
    <t>Statistieken van Wikipedia/Wikimedia</t>
  </si>
  <si>
    <t>Sociale media statistieken</t>
  </si>
  <si>
    <t>Database statistieken</t>
  </si>
  <si>
    <t>n=42</t>
  </si>
  <si>
    <t>24. Wat is het jaarlijkse aantal bezoeken van de digitale collecties op de website van uw instelling?</t>
  </si>
  <si>
    <t>n=25</t>
  </si>
  <si>
    <t>Gemiddelde</t>
  </si>
  <si>
    <t>25. Zijn (delen van) uw digitale collecties opgeslagen in digitale depots die opgezet zijn volgens international standaarden voor digitale duurzaamheid?</t>
  </si>
  <si>
    <t>ja, in een eigen e-depot</t>
  </si>
  <si>
    <t>ja, in een publiek digitaal archief</t>
  </si>
  <si>
    <t>ja, in een privaat digitaal archief</t>
  </si>
  <si>
    <t>nee, er is nog geen duurzame oplossing</t>
  </si>
  <si>
    <t>weet niet</t>
  </si>
  <si>
    <t>26. Schat de jaarlijkse uitgaven aan de *digitale collecties* van uw instelling ('total cost of ownership'). Omvang van de uitgaven (€) (schatting is OK)</t>
  </si>
  <si>
    <t>Institutionele uitgaven (intern budget):</t>
  </si>
  <si>
    <t>Tijdelijk gefinancierde project uitgaven (extern budget):</t>
  </si>
  <si>
    <t>zonder KB</t>
  </si>
  <si>
    <t>Zonder KB</t>
  </si>
  <si>
    <t>n=68</t>
  </si>
  <si>
    <t>Gemiddeld</t>
  </si>
  <si>
    <t>Intern budget</t>
  </si>
  <si>
    <t>Tijdelijk extern budget</t>
  </si>
  <si>
    <t>n=68 &amp; n=48</t>
  </si>
  <si>
    <t>Interne uitgaven aan digitale collecties</t>
  </si>
  <si>
    <t>Projectbudget voor digitale collecties</t>
  </si>
  <si>
    <t>Totaal</t>
  </si>
  <si>
    <t>27. Jaar waarop dit betrekking heeft:</t>
  </si>
  <si>
    <t>28. Schat welk percentage van de jaarlijkse uitgaven van uw organisatie aan het opbouwen, onderhouden, verbeteren en duurzaam beheren van de digitale collecties wordt besteed aan incidentele kosten en welk percentage aan structurele kosten</t>
  </si>
  <si>
    <t>Incidenteel</t>
  </si>
  <si>
    <t>Structureel</t>
  </si>
  <si>
    <t>per domein</t>
  </si>
  <si>
    <t>Archieven (n=22)</t>
  </si>
  <si>
    <t>Totaal (n=68)</t>
  </si>
  <si>
    <t>Bibliotheken (n=3)</t>
  </si>
  <si>
    <t>Musea (n=38)</t>
  </si>
  <si>
    <t>Overig (n=5)</t>
  </si>
  <si>
    <t>29. Schat welk percentage van de jaarlijkse uitgaven van uw organisatie aan het opbouwen, onderhouden, verbeteren en duurzaam beheren van *digitale collecties* binnen uw instelling (*In-house*) wordt besteed en welk percentage wordt uitbesteed (*Outsourced*)</t>
  </si>
  <si>
    <t>Kostenontwikkeling</t>
  </si>
  <si>
    <t>% kosten 'in house'</t>
  </si>
  <si>
    <t>% kosten 'outsourced'</t>
  </si>
  <si>
    <t>30. Schat welk percentage van de *Incidentele kosten* kan worden toegeschreven aan de volgende activiteiten</t>
  </si>
  <si>
    <t>31. Overige kosten</t>
  </si>
  <si>
    <t>32. Schat welk percentage van de *Structurele kosten* kan worden toegeschreven aan de volgende activiteiten</t>
  </si>
  <si>
    <t>33. Overige kosten</t>
  </si>
  <si>
    <t>34. Hoe groot is het aantal personen (in full-time equivalenten) dat op jaarbasis betrokken is bij het opbouwen, onderhouden, verbeteren en duurzaam beheren van uw *digitale collecties?*</t>
  </si>
  <si>
    <t>35. Jaar waarop dit betrekking heeft</t>
  </si>
  <si>
    <t>36. Uit welke bronnen worden uw digitale collecties bekostigd?</t>
  </si>
  <si>
    <t>Overige inkomstenbronnen</t>
  </si>
  <si>
    <t>Toelichting</t>
  </si>
  <si>
    <t>Betaalde medewerkers</t>
  </si>
  <si>
    <t>Vrijwilligers</t>
  </si>
  <si>
    <t>Jaar</t>
  </si>
  <si>
    <t>Selectie van erfgoedmateriaal voor de digitale collecties</t>
  </si>
  <si>
    <t>Acquisitie van born digital erfgoedmateriaal</t>
  </si>
  <si>
    <t>Logistiek (transport van de collectie met het oog op digitalisering, etc.)</t>
  </si>
  <si>
    <t>Conversie van analoog naar digitaal</t>
  </si>
  <si>
    <t>Copyright regelingen</t>
  </si>
  <si>
    <t>Metadata aanmaak en verbetering</t>
  </si>
  <si>
    <t>Web design, software ontwikkeling</t>
  </si>
  <si>
    <t>n=57</t>
  </si>
  <si>
    <t>Logistiek (transport e.d.)</t>
  </si>
  <si>
    <t>Beheer</t>
  </si>
  <si>
    <t>Archivering (opslag, inclusief backups)</t>
  </si>
  <si>
    <t>Activiteiten gericht op het behoud van de digitale collectie op de lange-termijn</t>
  </si>
  <si>
    <t>Licenties</t>
  </si>
  <si>
    <t>Onderhoud van webservers en web, mobiele en overige diensten</t>
  </si>
  <si>
    <t>Populariseringsactiviteiten en gebruikersondersteuning (inclusief de tijd die het personeel van uw instelling aan dergelijke activiteiten besteed)</t>
  </si>
  <si>
    <t>Analyses van het gebruik van de collecties (inclusief gebruikersonderzoeken, interviews, en vergelijkbare activiteiten)</t>
  </si>
  <si>
    <t>Redactionele werkzaamheden (inclusief selectie en bewerken van content)</t>
  </si>
  <si>
    <t>n=59</t>
  </si>
  <si>
    <t>Redactionele werkzaamheden</t>
  </si>
  <si>
    <t>Analyses van het gebruik van de collecties</t>
  </si>
  <si>
    <t>Behoud van de digitale collectie op de lange-termijn</t>
  </si>
  <si>
    <t>Communicatie en gebruikersondersteuning</t>
  </si>
  <si>
    <t>Onderhoud van servers en diensten</t>
  </si>
  <si>
    <t>n=72</t>
  </si>
  <si>
    <t>Interne budgetten</t>
  </si>
  <si>
    <t>Crowdfunding</t>
  </si>
  <si>
    <t>Publieke schenkingen/subsidies uit nationale middelen</t>
  </si>
  <si>
    <t>Publieke schenkingen/subsidies uit regionale/lokale middelen</t>
  </si>
  <si>
    <t>Private schenkingen en nalatenschappen</t>
  </si>
  <si>
    <t>Publiek-private samenwerking(en)</t>
  </si>
  <si>
    <t>Inkomsten uit de verkoop van digitale producten en diensten</t>
  </si>
  <si>
    <t xml:space="preserve">Nr. </t>
  </si>
  <si>
    <t>Vraag</t>
  </si>
  <si>
    <t>Tekstuele bronnen</t>
  </si>
  <si>
    <t>Visuele (2D) bronnen</t>
  </si>
  <si>
    <t>Archiefmateriaal</t>
  </si>
  <si>
    <t>Door de mens gemaakte 3D-objecten</t>
  </si>
  <si>
    <t>Natuurobjecten</t>
  </si>
  <si>
    <t>Locatiegebonden erfgoed</t>
  </si>
  <si>
    <t>Erfgoedobjecten met dimensie tijd</t>
  </si>
  <si>
    <t>Digitaal interactieve erfgoedbronnen</t>
  </si>
  <si>
    <t>Please select the collection types that are part of the heritage collections of your institution. Please specify the object types that are part of the heritage collections of your institution. The digital collection consists of digitally reproduced analogue objects and born digital objects. An object that has been catalogued in a database with metadata records only, is not considered to be part of the ´digital collection´.</t>
  </si>
  <si>
    <t>digitaal</t>
  </si>
  <si>
    <t>analoog</t>
  </si>
  <si>
    <t>n=132</t>
  </si>
  <si>
    <t>Yes=1, No=0</t>
  </si>
  <si>
    <t>niet in collectie</t>
  </si>
  <si>
    <t>n=122</t>
  </si>
  <si>
    <t>n=126</t>
  </si>
  <si>
    <t>n=113</t>
  </si>
  <si>
    <t>n=115</t>
  </si>
  <si>
    <t>n=123</t>
  </si>
  <si>
    <t>n=120</t>
  </si>
  <si>
    <t>In analoge collectie</t>
  </si>
  <si>
    <t>In digitale collectie</t>
  </si>
  <si>
    <t>Niet in de collectie</t>
  </si>
  <si>
    <t xml:space="preserve">Per domein </t>
  </si>
  <si>
    <t>Overig (n=15)</t>
  </si>
  <si>
    <t>Musea (n=80)</t>
  </si>
  <si>
    <t>n=136</t>
  </si>
  <si>
    <t>Digitale collectie per domein</t>
  </si>
  <si>
    <t>Digitale collectie vs digitale strategie</t>
  </si>
  <si>
    <t>Collectie</t>
  </si>
  <si>
    <t>Strategie</t>
  </si>
  <si>
    <t>Archieven (n=37)</t>
  </si>
  <si>
    <t>Musea (n=39)</t>
  </si>
  <si>
    <t>Inkomsten uit de verkoop digitale producten/diensten</t>
  </si>
  <si>
    <t>Publieke subsidies uit regionale/lokale middelen</t>
  </si>
  <si>
    <t>Publieke subsidies uit nationale middelen</t>
  </si>
  <si>
    <t>Gemiddeld (zonder uitschieter)</t>
  </si>
  <si>
    <t>n=66</t>
  </si>
  <si>
    <t>Archieven (n=21)</t>
  </si>
  <si>
    <t>Per sector (minus uitschieter in bibliotheeksector)</t>
  </si>
  <si>
    <t>Uitschieter</t>
  </si>
  <si>
    <t>n=68 / n=66 (excl. uitschieter)</t>
  </si>
  <si>
    <t>(incl. uitschieter zou totaal gemiddelde 12,3 fte zijn)</t>
  </si>
  <si>
    <t>Musea (n=74)</t>
  </si>
  <si>
    <t>%</t>
  </si>
  <si>
    <t>0% gedigitaliseerd</t>
  </si>
  <si>
    <t>1-5% gedigitaliseerd</t>
  </si>
  <si>
    <t>6-25% gedigitaliseerd</t>
  </si>
  <si>
    <t>26-50% gedigitaliseerd</t>
  </si>
  <si>
    <t>51-75% gedigitaliseerd</t>
  </si>
  <si>
    <t>76-99% gedigitaliseerd</t>
  </si>
  <si>
    <t>100% gedigitaliseerd</t>
  </si>
  <si>
    <t>% collectie gedigitaliseerd (n=127)</t>
  </si>
  <si>
    <t>Totaal (n=79)</t>
  </si>
  <si>
    <t>Totaal (n=71)</t>
  </si>
  <si>
    <t>Digitale collectie ('full content')</t>
  </si>
  <si>
    <t>NL 2017</t>
  </si>
  <si>
    <t>EU 2017</t>
  </si>
  <si>
    <t>What is your institution’s total annual budget?</t>
  </si>
  <si>
    <t>Does your organisation collect born digital heritage?</t>
  </si>
  <si>
    <t>Collections are made accessible to the public for various reasons. How important is each of the following types of use for your institution? Using a 10-points scale - where 1 equals "not at all important" to 10 "highly important" - please select only one number per row.</t>
  </si>
  <si>
    <t>ENUMERATE 2016-2017, Nederlandse data</t>
  </si>
  <si>
    <t xml:space="preserve">Deze grafiek is om deze reden niet gebruikt in de uiteindelijke rapportage. </t>
  </si>
  <si>
    <t>Te weinig respondenten om van nut te zijn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</si>
</sst>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quot;€&quot;\ * #,##0_ ;_ &quot;€&quot;\ * \-#,##0_ ;_ &quot;€&quot;\ * &quot;-&quot;_ ;_ @_ "/>
    <numFmt numFmtId="44" formatCode="_ &quot;€&quot;\ * #,##0.00_ ;_ &quot;€&quot;\ * \-#,##0.00_ ;_ &quot;€&quot;\ * &quot;-&quot;??_ ;_ @_ "/>
    <numFmt numFmtId="165" formatCode="&quot;€&quot;\ #,##0"/>
    <numFmt numFmtId="166" formatCode="0.0"/>
    <numFmt numFmtId="167" formatCode="#,##0.0_ ;\-#,##0.0\ "/>
    <numFmt numFmtId="168" formatCode="0.0%"/>
  </numFmts>
  <fonts count="26" x14ac:knownFonts="1">
    <font>
      <sz val="11"/>
      <color theme="1"/>
      <name val="Calibri"/>
      <family val="2"/>
      <scheme val="minor"/>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b/>
      <sz val="11"/>
      <color theme="1"/>
      <name val="Calibri"/>
      <family val="2"/>
      <scheme val="minor"/>
    </font>
    <font>
      <u/>
      <sz val="11"/>
      <color theme="11"/>
      <name val="Calibri"/>
      <family val="2"/>
      <scheme val="minor"/>
    </font>
    <font>
      <sz val="9"/>
      <color theme="1"/>
      <name val="Arial"/>
      <family val="2"/>
    </font>
    <font>
      <sz val="9"/>
      <name val="Arial"/>
      <family val="2"/>
    </font>
    <font>
      <sz val="9"/>
      <color rgb="FFFF0000"/>
      <name val="Arial"/>
      <family val="2"/>
    </font>
    <font>
      <sz val="9"/>
      <color rgb="FF000000"/>
      <name val="Arial"/>
      <family val="2"/>
    </font>
    <font>
      <i/>
      <sz val="11"/>
      <color theme="1"/>
      <name val="Calibri"/>
      <family val="2"/>
      <scheme val="minor"/>
    </font>
    <font>
      <i/>
      <sz val="9"/>
      <color rgb="FF000000"/>
      <name val="Arial"/>
      <family val="2"/>
    </font>
    <font>
      <b/>
      <sz val="9"/>
      <color rgb="FFFF0000"/>
      <name val="Arial"/>
      <family val="2"/>
    </font>
    <font>
      <sz val="11"/>
      <color rgb="FFFF0000"/>
      <name val="Calibri"/>
      <family val="2"/>
      <scheme val="minor"/>
    </font>
    <font>
      <sz val="10"/>
      <name val="Calibri"/>
      <family val="2"/>
      <scheme val="minor"/>
    </font>
    <font>
      <i/>
      <sz val="9"/>
      <color theme="1"/>
      <name val="Arial"/>
      <family val="2"/>
    </font>
    <font>
      <b/>
      <i/>
      <sz val="9"/>
      <color theme="1"/>
      <name val="Arial"/>
      <family val="2"/>
    </font>
    <font>
      <sz val="10"/>
      <name val="Arial"/>
      <family val="2"/>
    </font>
    <font>
      <sz val="10"/>
      <color rgb="FF000000"/>
      <name val="Calibri"/>
      <family val="2"/>
      <scheme val="minor"/>
    </font>
    <font>
      <b/>
      <i/>
      <sz val="11"/>
      <color theme="1"/>
      <name val="Calibri"/>
      <family val="2"/>
      <scheme val="minor"/>
    </font>
    <font>
      <b/>
      <sz val="9"/>
      <color theme="1"/>
      <name val="Arial"/>
      <family val="2"/>
    </font>
    <font>
      <b/>
      <i/>
      <sz val="9"/>
      <color rgb="FFFF0000"/>
      <name val="Arial"/>
      <family val="2"/>
    </font>
    <font>
      <i/>
      <sz val="9"/>
      <color rgb="FFFF0000"/>
      <name val="Arial"/>
      <family val="2"/>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1"/>
        <bgColor indexed="64"/>
      </patternFill>
    </fill>
    <fill>
      <patternFill patternType="solid">
        <fgColor theme="7" tint="0.79998168889431442"/>
        <bgColor indexed="64"/>
      </patternFill>
    </fill>
    <fill>
      <patternFill patternType="solid">
        <fgColor theme="8" tint="0.59999389629810485"/>
        <bgColor indexed="64"/>
      </patternFill>
    </fill>
  </fills>
  <borders count="1">
    <border>
      <left/>
      <right/>
      <top/>
      <bottom/>
      <diagonal/>
    </border>
  </borders>
  <cellStyleXfs count="107">
    <xf numFmtId="0" fontId="0"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85">
    <xf numFmtId="0" fontId="0" fillId="0" borderId="0" xfId="0"/>
    <xf numFmtId="0" fontId="7" fillId="0" borderId="0" xfId="0" applyFont="1"/>
    <xf numFmtId="0" fontId="9" fillId="0" borderId="0" xfId="0" applyFont="1"/>
    <xf numFmtId="0" fontId="9" fillId="0" borderId="0" xfId="0" applyFont="1" applyFill="1"/>
    <xf numFmtId="0" fontId="9" fillId="2" borderId="0" xfId="0" applyFont="1" applyFill="1"/>
    <xf numFmtId="3" fontId="9" fillId="0" borderId="0" xfId="0" applyNumberFormat="1" applyFont="1"/>
    <xf numFmtId="0" fontId="11" fillId="0" borderId="0" xfId="0" applyFont="1"/>
    <xf numFmtId="0" fontId="11" fillId="0" borderId="0" xfId="0" applyFont="1" applyFill="1"/>
    <xf numFmtId="0" fontId="12" fillId="0" borderId="0" xfId="0" applyFont="1"/>
    <xf numFmtId="0" fontId="13" fillId="0" borderId="0" xfId="0" applyFont="1"/>
    <xf numFmtId="0" fontId="14" fillId="0" borderId="0" xfId="0" applyFont="1"/>
    <xf numFmtId="0" fontId="15" fillId="0" borderId="0" xfId="0" applyFont="1"/>
    <xf numFmtId="0" fontId="9" fillId="4" borderId="0" xfId="0" applyFont="1" applyFill="1"/>
    <xf numFmtId="0" fontId="9" fillId="0" borderId="0" xfId="0" applyNumberFormat="1" applyFont="1" applyFill="1"/>
    <xf numFmtId="0" fontId="17" fillId="0" borderId="0" xfId="0" applyFont="1" applyFill="1"/>
    <xf numFmtId="0" fontId="18" fillId="0" borderId="0" xfId="0" applyFont="1"/>
    <xf numFmtId="0" fontId="19" fillId="0" borderId="0" xfId="0" applyFont="1"/>
    <xf numFmtId="0" fontId="9" fillId="0" borderId="0" xfId="0" applyFont="1" applyAlignment="1">
      <alignment horizontal="right"/>
    </xf>
    <xf numFmtId="42" fontId="0" fillId="0" borderId="0" xfId="0" applyNumberFormat="1"/>
    <xf numFmtId="0" fontId="0" fillId="0" borderId="0" xfId="0"/>
    <xf numFmtId="0" fontId="13" fillId="0" borderId="0" xfId="0" applyFont="1"/>
    <xf numFmtId="165" fontId="0" fillId="0" borderId="0" xfId="0" applyNumberFormat="1"/>
    <xf numFmtId="0" fontId="20" fillId="0" borderId="0" xfId="0" applyFont="1"/>
    <xf numFmtId="0" fontId="0" fillId="0" borderId="0" xfId="0" applyFill="1"/>
    <xf numFmtId="9" fontId="0" fillId="0" borderId="0" xfId="0" applyNumberFormat="1"/>
    <xf numFmtId="166" fontId="0" fillId="0" borderId="0" xfId="0" applyNumberFormat="1"/>
    <xf numFmtId="167" fontId="0" fillId="0" borderId="0" xfId="0" applyNumberFormat="1"/>
    <xf numFmtId="0" fontId="21" fillId="0" borderId="0" xfId="0" applyFont="1"/>
    <xf numFmtId="0" fontId="0" fillId="0" borderId="0" xfId="0" applyFill="1" applyAlignment="1">
      <alignment horizontal="left"/>
    </xf>
    <xf numFmtId="0" fontId="20" fillId="0" borderId="0" xfId="0" applyFont="1" applyFill="1"/>
    <xf numFmtId="9" fontId="0" fillId="0" borderId="0" xfId="0" applyNumberFormat="1" applyFill="1"/>
    <xf numFmtId="9" fontId="9" fillId="0" borderId="0" xfId="0" applyNumberFormat="1" applyFont="1"/>
    <xf numFmtId="0" fontId="16" fillId="0" borderId="0" xfId="0" applyFont="1"/>
    <xf numFmtId="0" fontId="6" fillId="0" borderId="0" xfId="0" applyFont="1"/>
    <xf numFmtId="1" fontId="0" fillId="0" borderId="0" xfId="0" applyNumberFormat="1"/>
    <xf numFmtId="1" fontId="6" fillId="0" borderId="0" xfId="0" applyNumberFormat="1" applyFont="1"/>
    <xf numFmtId="168" fontId="0" fillId="0" borderId="0" xfId="0" applyNumberFormat="1"/>
    <xf numFmtId="3" fontId="20" fillId="0" borderId="0" xfId="0" applyNumberFormat="1" applyFont="1" applyFill="1"/>
    <xf numFmtId="1" fontId="22" fillId="0" borderId="0" xfId="0" applyNumberFormat="1" applyFont="1"/>
    <xf numFmtId="0" fontId="23" fillId="0" borderId="0" xfId="0" applyFont="1"/>
    <xf numFmtId="166" fontId="6" fillId="0" borderId="0" xfId="0" applyNumberFormat="1" applyFont="1"/>
    <xf numFmtId="0" fontId="0" fillId="3" borderId="0" xfId="0" applyFill="1"/>
    <xf numFmtId="0" fontId="23" fillId="0" borderId="0" xfId="0" applyFont="1" applyAlignment="1">
      <alignment vertical="top"/>
    </xf>
    <xf numFmtId="0" fontId="5" fillId="0" borderId="0" xfId="0" applyFont="1"/>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0" fillId="0" borderId="0" xfId="0" applyAlignment="1">
      <alignment wrapText="1"/>
    </xf>
    <xf numFmtId="0" fontId="18" fillId="0" borderId="0" xfId="0" applyFont="1" applyAlignment="1">
      <alignment horizontal="right"/>
    </xf>
    <xf numFmtId="1" fontId="5" fillId="0" borderId="0" xfId="0" applyNumberFormat="1" applyFont="1"/>
    <xf numFmtId="0" fontId="10" fillId="0" borderId="0" xfId="0" applyFont="1"/>
    <xf numFmtId="0" fontId="9" fillId="0" borderId="0" xfId="0" applyFont="1" applyAlignment="1">
      <alignment wrapText="1"/>
    </xf>
    <xf numFmtId="0" fontId="9" fillId="0" borderId="0" xfId="0" applyFont="1" applyFill="1" applyAlignment="1">
      <alignment wrapText="1"/>
    </xf>
    <xf numFmtId="166" fontId="5" fillId="0" borderId="0" xfId="0" applyNumberFormat="1" applyFont="1"/>
    <xf numFmtId="0" fontId="5" fillId="0" borderId="0" xfId="0" applyFont="1" applyFill="1"/>
    <xf numFmtId="3" fontId="9" fillId="0" borderId="0" xfId="0" applyNumberFormat="1" applyFont="1" applyFill="1"/>
    <xf numFmtId="3" fontId="0" fillId="0" borderId="0" xfId="0" applyNumberFormat="1"/>
    <xf numFmtId="3" fontId="5" fillId="0" borderId="0" xfId="0" applyNumberFormat="1" applyFont="1"/>
    <xf numFmtId="3" fontId="23" fillId="0" borderId="0" xfId="0" applyNumberFormat="1" applyFont="1"/>
    <xf numFmtId="0" fontId="24" fillId="0" borderId="0" xfId="0" applyFont="1"/>
    <xf numFmtId="168" fontId="5" fillId="0" borderId="0" xfId="0" applyNumberFormat="1" applyFont="1"/>
    <xf numFmtId="44" fontId="5" fillId="0" borderId="0" xfId="0" applyNumberFormat="1" applyFont="1"/>
    <xf numFmtId="0" fontId="18" fillId="0" borderId="0" xfId="0" applyFont="1" applyAlignment="1"/>
    <xf numFmtId="9" fontId="5" fillId="0" borderId="0" xfId="0" applyNumberFormat="1" applyFont="1"/>
    <xf numFmtId="9" fontId="10" fillId="0" borderId="0" xfId="0" applyNumberFormat="1" applyFont="1" applyFill="1"/>
    <xf numFmtId="0" fontId="25" fillId="0" borderId="0" xfId="0" applyFont="1"/>
    <xf numFmtId="0" fontId="0" fillId="5" borderId="0" xfId="0" applyFill="1"/>
    <xf numFmtId="0" fontId="5" fillId="5" borderId="0" xfId="0" applyFont="1" applyFill="1"/>
    <xf numFmtId="0" fontId="9" fillId="5" borderId="0" xfId="0" applyFont="1" applyFill="1"/>
    <xf numFmtId="9" fontId="5" fillId="0" borderId="0" xfId="0" applyNumberFormat="1" applyFont="1" applyAlignment="1">
      <alignment horizontal="right"/>
    </xf>
    <xf numFmtId="168" fontId="10" fillId="0" borderId="0" xfId="0" applyNumberFormat="1" applyFont="1"/>
    <xf numFmtId="0" fontId="4" fillId="0" borderId="0" xfId="0" applyFont="1"/>
    <xf numFmtId="0" fontId="3" fillId="0" borderId="0" xfId="0" applyFont="1"/>
    <xf numFmtId="42" fontId="5" fillId="0" borderId="0" xfId="0" applyNumberFormat="1" applyFont="1"/>
    <xf numFmtId="0" fontId="2" fillId="0" borderId="0" xfId="0" applyFont="1"/>
    <xf numFmtId="4" fontId="9" fillId="0" borderId="0" xfId="0" applyNumberFormat="1" applyFont="1"/>
    <xf numFmtId="166" fontId="9" fillId="0" borderId="0" xfId="0" applyNumberFormat="1" applyFont="1"/>
    <xf numFmtId="166" fontId="9" fillId="0" borderId="0" xfId="0" applyNumberFormat="1" applyFont="1" applyFill="1"/>
    <xf numFmtId="0" fontId="1" fillId="0" borderId="0" xfId="0" applyFont="1"/>
    <xf numFmtId="0" fontId="0" fillId="6" borderId="0" xfId="0" applyFill="1"/>
    <xf numFmtId="0" fontId="13" fillId="6" borderId="0" xfId="0" applyFont="1" applyFill="1"/>
    <xf numFmtId="0" fontId="0" fillId="0" borderId="0" xfId="0" applyAlignment="1">
      <alignment horizontal="right"/>
    </xf>
    <xf numFmtId="0" fontId="1" fillId="0" borderId="0" xfId="0" applyFont="1" applyAlignment="1">
      <alignment vertical="top"/>
    </xf>
    <xf numFmtId="0" fontId="1" fillId="0" borderId="0" xfId="0" applyFont="1" applyAlignment="1">
      <alignment vertical="top" wrapText="1"/>
    </xf>
    <xf numFmtId="0" fontId="12" fillId="0" borderId="0" xfId="0" applyFont="1" applyFill="1"/>
  </cellXfs>
  <cellStyles count="107">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2.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3.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4.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5.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6.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41.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Type respondenten 2017 (specifiek)</a:t>
            </a:r>
          </a:p>
          <a:p>
            <a:pPr>
              <a:defRPr sz="1400" b="0" i="0" u="none" strike="noStrike" kern="1200" spc="0" baseline="0">
                <a:solidFill>
                  <a:schemeClr val="tx1">
                    <a:lumMod val="65000"/>
                    <a:lumOff val="35000"/>
                  </a:schemeClr>
                </a:solidFill>
                <a:latin typeface="+mn-lt"/>
                <a:ea typeface="+mn-ea"/>
                <a:cs typeface="+mn-cs"/>
              </a:defRPr>
            </a:pPr>
            <a:r>
              <a:rPr lang="nl-NL"/>
              <a:t>(n=156)</a:t>
            </a:r>
          </a:p>
        </c:rich>
      </c:tx>
      <c:layout>
        <c:manualLayout>
          <c:xMode val="edge"/>
          <c:yMode val="edge"/>
          <c:x val="5.5319523351287092E-3"/>
          <c:y val="9.8314563251100228E-3"/>
        </c:manualLayout>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69C3-4678-AEEB-1A64D7C0480E}"/>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69C3-4678-AEEB-1A64D7C0480E}"/>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69C3-4678-AEEB-1A64D7C0480E}"/>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69C3-4678-AEEB-1A64D7C0480E}"/>
              </c:ext>
            </c:extLst>
          </c:dPt>
          <c:dPt>
            <c:idx val="4"/>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69C3-4678-AEEB-1A64D7C0480E}"/>
              </c:ext>
            </c:extLst>
          </c:dPt>
          <c:dPt>
            <c:idx val="5"/>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B-69C3-4678-AEEB-1A64D7C0480E}"/>
              </c:ext>
            </c:extLst>
          </c:dPt>
          <c:dPt>
            <c:idx val="6"/>
            <c:bubble3D val="0"/>
            <c:spPr>
              <a:solidFill>
                <a:schemeClr val="accent1">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D-69C3-4678-AEEB-1A64D7C0480E}"/>
              </c:ext>
            </c:extLst>
          </c:dPt>
          <c:dPt>
            <c:idx val="7"/>
            <c:bubble3D val="0"/>
            <c:spPr>
              <a:solidFill>
                <a:schemeClr val="accent2">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F-69C3-4678-AEEB-1A64D7C0480E}"/>
              </c:ext>
            </c:extLst>
          </c:dPt>
          <c:dPt>
            <c:idx val="8"/>
            <c:bubble3D val="0"/>
            <c:spPr>
              <a:solidFill>
                <a:schemeClr val="accent3">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1-69C3-4678-AEEB-1A64D7C0480E}"/>
              </c:ext>
            </c:extLst>
          </c:dPt>
          <c:dPt>
            <c:idx val="9"/>
            <c:bubble3D val="0"/>
            <c:spPr>
              <a:solidFill>
                <a:schemeClr val="accent4">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3-69C3-4678-AEEB-1A64D7C0480E}"/>
              </c:ext>
            </c:extLst>
          </c:dPt>
          <c:dPt>
            <c:idx val="10"/>
            <c:bubble3D val="0"/>
            <c:spPr>
              <a:solidFill>
                <a:schemeClr val="accent5">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5-69C3-4678-AEEB-1A64D7C0480E}"/>
              </c:ext>
            </c:extLst>
          </c:dPt>
          <c:dPt>
            <c:idx val="11"/>
            <c:bubble3D val="0"/>
            <c:spPr>
              <a:solidFill>
                <a:schemeClr val="accent6">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7-69C3-4678-AEEB-1A64D7C0480E}"/>
              </c:ext>
            </c:extLst>
          </c:dPt>
          <c:dPt>
            <c:idx val="12"/>
            <c:bubble3D val="0"/>
            <c:spPr>
              <a:solidFill>
                <a:schemeClr val="accent1">
                  <a:lumMod val="80000"/>
                  <a:lumOff val="2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9-69C3-4678-AEEB-1A64D7C0480E}"/>
              </c:ext>
            </c:extLst>
          </c:dPt>
          <c:dPt>
            <c:idx val="13"/>
            <c:bubble3D val="0"/>
            <c:spPr>
              <a:solidFill>
                <a:schemeClr val="accent2">
                  <a:lumMod val="80000"/>
                  <a:lumOff val="2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B-69C3-4678-AEEB-1A64D7C0480E}"/>
              </c:ext>
            </c:extLst>
          </c:dPt>
          <c:dPt>
            <c:idx val="14"/>
            <c:bubble3D val="0"/>
            <c:spPr>
              <a:solidFill>
                <a:schemeClr val="accent3">
                  <a:lumMod val="80000"/>
                  <a:lumOff val="2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D-69C3-4678-AEEB-1A64D7C0480E}"/>
              </c:ext>
            </c:extLst>
          </c:dPt>
          <c:dPt>
            <c:idx val="15"/>
            <c:bubble3D val="0"/>
            <c:spPr>
              <a:solidFill>
                <a:schemeClr val="accent4">
                  <a:lumMod val="80000"/>
                  <a:lumOff val="2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1F-69C3-4678-AEEB-1A64D7C0480E}"/>
              </c:ext>
            </c:extLst>
          </c:dPt>
          <c:dPt>
            <c:idx val="16"/>
            <c:bubble3D val="0"/>
            <c:spPr>
              <a:solidFill>
                <a:schemeClr val="accent5">
                  <a:lumMod val="80000"/>
                  <a:lumOff val="2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21-69C3-4678-AEEB-1A64D7C0480E}"/>
              </c:ext>
            </c:extLst>
          </c:dPt>
          <c:dPt>
            <c:idx val="17"/>
            <c:bubble3D val="0"/>
            <c:spPr>
              <a:solidFill>
                <a:schemeClr val="accent6">
                  <a:lumMod val="80000"/>
                  <a:lumOff val="2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23-69C3-4678-AEEB-1A64D7C0480E}"/>
              </c:ext>
            </c:extLst>
          </c:dPt>
          <c:dPt>
            <c:idx val="18"/>
            <c:bubble3D val="0"/>
            <c:spPr>
              <a:solidFill>
                <a:schemeClr val="accent1">
                  <a:lumMod val="8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25-69C3-4678-AEEB-1A64D7C0480E}"/>
              </c:ext>
            </c:extLst>
          </c:dPt>
          <c:dPt>
            <c:idx val="19"/>
            <c:bubble3D val="0"/>
            <c:spPr>
              <a:solidFill>
                <a:schemeClr val="accent2">
                  <a:lumMod val="8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27-69C3-4678-AEEB-1A64D7C0480E}"/>
              </c:ext>
            </c:extLst>
          </c:dPt>
          <c:dPt>
            <c:idx val="20"/>
            <c:bubble3D val="0"/>
            <c:spPr>
              <a:solidFill>
                <a:schemeClr val="accent3">
                  <a:lumMod val="8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29-69C3-4678-AEEB-1A64D7C0480E}"/>
              </c:ext>
            </c:extLst>
          </c:dPt>
          <c:dPt>
            <c:idx val="21"/>
            <c:bubble3D val="0"/>
            <c:spPr>
              <a:solidFill>
                <a:schemeClr val="accent4">
                  <a:lumMod val="8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2B-69C3-4678-AEEB-1A64D7C0480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'Type instelling'!$A$7:$A$28</c:f>
              <c:strCache>
                <c:ptCount val="22"/>
                <c:pt idx="0">
                  <c:v>Historisch of archeologisch museum</c:v>
                </c:pt>
                <c:pt idx="1">
                  <c:v>Archief (overig)</c:v>
                </c:pt>
                <c:pt idx="2">
                  <c:v>Kunstmuseum</c:v>
                </c:pt>
                <c:pt idx="3">
                  <c:v>Erfgoedbrede instelling</c:v>
                </c:pt>
                <c:pt idx="4">
                  <c:v>Technologie- of wetenschapsmuseum</c:v>
                </c:pt>
                <c:pt idx="5">
                  <c:v>Museum (overig)</c:v>
                </c:pt>
                <c:pt idx="6">
                  <c:v>Natuurhistorisch of natuurwetenschappelijk museum</c:v>
                </c:pt>
                <c:pt idx="7">
                  <c:v>Openbare bibliotheek</c:v>
                </c:pt>
                <c:pt idx="8">
                  <c:v>Speciale of overig type bibliotheek</c:v>
                </c:pt>
                <c:pt idx="9">
                  <c:v>Bibliotheek voor het hoger onderwijs</c:v>
                </c:pt>
                <c:pt idx="10">
                  <c:v>Bouwhistorische instelling</c:v>
                </c:pt>
                <c:pt idx="11">
                  <c:v>Dierentuin</c:v>
                </c:pt>
                <c:pt idx="12">
                  <c:v>Antropologisch- of etnologisch museum</c:v>
                </c:pt>
                <c:pt idx="13">
                  <c:v>Audiovisueel archief</c:v>
                </c:pt>
                <c:pt idx="14">
                  <c:v>Data-archief</c:v>
                </c:pt>
                <c:pt idx="15">
                  <c:v>Digitaliseringsbedrijf</c:v>
                </c:pt>
                <c:pt idx="16">
                  <c:v>Filminstituut</c:v>
                </c:pt>
                <c:pt idx="17">
                  <c:v>Herinneringscentrum</c:v>
                </c:pt>
                <c:pt idx="18">
                  <c:v>Nationaal Archief</c:v>
                </c:pt>
                <c:pt idx="19">
                  <c:v>Nationale Bibliotheek</c:v>
                </c:pt>
                <c:pt idx="20">
                  <c:v>Onderwijsinstelling</c:v>
                </c:pt>
                <c:pt idx="21">
                  <c:v>Presentatieinstelling</c:v>
                </c:pt>
              </c:strCache>
            </c:strRef>
          </c:cat>
          <c:val>
            <c:numRef>
              <c:f>'Type instelling'!$B$7:$B$28</c:f>
              <c:numCache>
                <c:formatCode>General</c:formatCode>
                <c:ptCount val="22"/>
                <c:pt idx="0">
                  <c:v>50</c:v>
                </c:pt>
                <c:pt idx="1">
                  <c:v>38</c:v>
                </c:pt>
                <c:pt idx="2">
                  <c:v>22</c:v>
                </c:pt>
                <c:pt idx="3">
                  <c:v>7</c:v>
                </c:pt>
                <c:pt idx="4">
                  <c:v>6</c:v>
                </c:pt>
                <c:pt idx="5">
                  <c:v>5</c:v>
                </c:pt>
                <c:pt idx="6">
                  <c:v>4</c:v>
                </c:pt>
                <c:pt idx="7">
                  <c:v>4</c:v>
                </c:pt>
                <c:pt idx="8">
                  <c:v>4</c:v>
                </c:pt>
                <c:pt idx="9">
                  <c:v>2</c:v>
                </c:pt>
                <c:pt idx="10">
                  <c:v>2</c:v>
                </c:pt>
                <c:pt idx="11">
                  <c:v>2</c:v>
                </c:pt>
                <c:pt idx="12">
                  <c:v>1</c:v>
                </c:pt>
                <c:pt idx="13">
                  <c:v>1</c:v>
                </c:pt>
                <c:pt idx="14">
                  <c:v>1</c:v>
                </c:pt>
                <c:pt idx="15">
                  <c:v>1</c:v>
                </c:pt>
                <c:pt idx="16">
                  <c:v>1</c:v>
                </c:pt>
                <c:pt idx="17">
                  <c:v>1</c:v>
                </c:pt>
                <c:pt idx="18">
                  <c:v>1</c:v>
                </c:pt>
                <c:pt idx="19">
                  <c:v>1</c:v>
                </c:pt>
                <c:pt idx="20">
                  <c:v>1</c:v>
                </c:pt>
                <c:pt idx="21">
                  <c:v>1</c:v>
                </c:pt>
              </c:numCache>
            </c:numRef>
          </c:val>
          <c:extLst xmlns:c16r2="http://schemas.microsoft.com/office/drawing/2015/06/chart">
            <c:ext xmlns:c16="http://schemas.microsoft.com/office/drawing/2014/chart" uri="{C3380CC4-5D6E-409C-BE32-E72D297353CC}">
              <c16:uniqueId val="{00000000-3E18-42F8-8B5A-9A0E537A011E}"/>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56602862187086478"/>
          <c:y val="1.7640932829032542E-2"/>
          <c:w val="0.41882532630769814"/>
          <c:h val="0.97419862341985553"/>
        </c:manualLayout>
      </c:layout>
      <c:overlay val="0"/>
      <c:spPr>
        <a:noFill/>
        <a:ln>
          <a:noFill/>
        </a:ln>
        <a:effectLst/>
      </c:spPr>
      <c:txPr>
        <a:bodyPr rot="0" spcFirstLastPara="1" vertOverflow="ellipsis" vert="horz" wrap="square" anchor="t" anchorCtr="0"/>
        <a:lstStyle/>
        <a:p>
          <a:pPr>
            <a:defRPr sz="900" b="0" i="0" u="none" strike="noStrike" kern="1200" baseline="0">
              <a:solidFill>
                <a:schemeClr val="tx1"/>
              </a:solidFill>
              <a:latin typeface="+mn-lt"/>
              <a:ea typeface="+mn-ea"/>
              <a:cs typeface="+mn-cs"/>
            </a:defRPr>
          </a:pPr>
          <a:endParaRPr lang="nl-NL"/>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000000000000167" l="0.70000000000000062" r="0.70000000000000062" t="0.7500000000000016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800" b="1" i="0" baseline="0">
                <a:effectLst/>
              </a:rPr>
              <a:t>Verzamelt je instelling born digital erfgoed? (per domein, n=131)</a:t>
            </a:r>
            <a:endParaRPr lang="nl-NL">
              <a:effectLst/>
            </a:endParaRPr>
          </a:p>
        </c:rich>
      </c:tx>
      <c:layout/>
      <c:overlay val="0"/>
      <c:spPr>
        <a:noFill/>
        <a:ln>
          <a:noFill/>
        </a:ln>
        <a:effectLst/>
      </c:spPr>
    </c:title>
    <c:autoTitleDeleted val="0"/>
    <c:plotArea>
      <c:layout/>
      <c:barChart>
        <c:barDir val="bar"/>
        <c:grouping val="clustered"/>
        <c:varyColors val="0"/>
        <c:ser>
          <c:idx val="0"/>
          <c:order val="0"/>
          <c:tx>
            <c:strRef>
              <c:f>'Born digital'!$M$10</c:f>
              <c:strCache>
                <c:ptCount val="1"/>
                <c:pt idx="0">
                  <c:v>%</c:v>
                </c:pt>
              </c:strCache>
            </c:strRef>
          </c:tx>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'Born digital'!$L$11:$L$14</c:f>
              <c:strCache>
                <c:ptCount val="4"/>
                <c:pt idx="0">
                  <c:v>Archieven (n=36)</c:v>
                </c:pt>
                <c:pt idx="1">
                  <c:v>Bibliotheken (n=5)</c:v>
                </c:pt>
                <c:pt idx="2">
                  <c:v>Musea (n=78)</c:v>
                </c:pt>
                <c:pt idx="3">
                  <c:v>Overig (n=12)</c:v>
                </c:pt>
              </c:strCache>
            </c:strRef>
          </c:cat>
          <c:val>
            <c:numRef>
              <c:f>'Born digital'!$M$11:$M$14</c:f>
              <c:numCache>
                <c:formatCode>0%</c:formatCode>
                <c:ptCount val="4"/>
                <c:pt idx="0">
                  <c:v>0.72</c:v>
                </c:pt>
                <c:pt idx="1">
                  <c:v>0.4</c:v>
                </c:pt>
                <c:pt idx="2">
                  <c:v>0.32</c:v>
                </c:pt>
                <c:pt idx="3">
                  <c:v>1</c:v>
                </c:pt>
              </c:numCache>
            </c:numRef>
          </c:val>
          <c:extLst xmlns:c16r2="http://schemas.microsoft.com/office/drawing/2015/06/chart">
            <c:ext xmlns:c16="http://schemas.microsoft.com/office/drawing/2014/chart" uri="{C3380CC4-5D6E-409C-BE32-E72D297353CC}">
              <c16:uniqueId val="{00000000-A679-48C6-942E-9F0C1D7244D6}"/>
            </c:ext>
          </c:extLst>
        </c:ser>
        <c:dLbls>
          <c:dLblPos val="outEnd"/>
          <c:showLegendKey val="0"/>
          <c:showVal val="1"/>
          <c:showCatName val="0"/>
          <c:showSerName val="0"/>
          <c:showPercent val="0"/>
          <c:showBubbleSize val="0"/>
        </c:dLbls>
        <c:gapWidth val="55"/>
        <c:axId val="91520000"/>
        <c:axId val="91539328"/>
      </c:barChart>
      <c:catAx>
        <c:axId val="915200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1539328"/>
        <c:crosses val="autoZero"/>
        <c:auto val="1"/>
        <c:lblAlgn val="ctr"/>
        <c:lblOffset val="100"/>
        <c:noMultiLvlLbl val="0"/>
      </c:catAx>
      <c:valAx>
        <c:axId val="915393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152000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000000000000167" l="0.70000000000000062" r="0.70000000000000062" t="0.75000000000000167"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nl-NL"/>
              <a:t>Typen erfgoed in Nederlandse collecties (n=136)</a:t>
            </a:r>
          </a:p>
        </c:rich>
      </c:tx>
      <c:overlay val="0"/>
      <c:spPr>
        <a:noFill/>
        <a:ln>
          <a:noFill/>
        </a:ln>
        <a:effectLst/>
      </c:spPr>
    </c:title>
    <c:autoTitleDeleted val="0"/>
    <c:plotArea>
      <c:layout/>
      <c:barChart>
        <c:barDir val="bar"/>
        <c:grouping val="clustered"/>
        <c:varyColors val="0"/>
        <c:ser>
          <c:idx val="0"/>
          <c:order val="0"/>
          <c:tx>
            <c:strRef>
              <c:f>Objecttypes!$AB$4</c:f>
              <c:strCache>
                <c:ptCount val="1"/>
                <c:pt idx="0">
                  <c:v>Niet in de collectie</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nl-NL"/>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Objecttypes!$AA$5:$AA$12</c:f>
              <c:strCache>
                <c:ptCount val="8"/>
                <c:pt idx="0">
                  <c:v>Digitaal interactieve erfgoedbronnen</c:v>
                </c:pt>
                <c:pt idx="1">
                  <c:v>Natuurobjecten</c:v>
                </c:pt>
                <c:pt idx="2">
                  <c:v>Locatiegebonden erfgoed</c:v>
                </c:pt>
                <c:pt idx="3">
                  <c:v>Erfgoedobjecten met dimensie tijd</c:v>
                </c:pt>
                <c:pt idx="4">
                  <c:v>Door de mens gemaakte 3D-objecten</c:v>
                </c:pt>
                <c:pt idx="5">
                  <c:v>Archiefmateriaal</c:v>
                </c:pt>
                <c:pt idx="6">
                  <c:v>Tekstuele bronnen</c:v>
                </c:pt>
                <c:pt idx="7">
                  <c:v>Visuele (2D) bronnen</c:v>
                </c:pt>
              </c:strCache>
            </c:strRef>
          </c:cat>
          <c:val>
            <c:numRef>
              <c:f>Objecttypes!$AB$5:$AB$12</c:f>
              <c:numCache>
                <c:formatCode>0%</c:formatCode>
                <c:ptCount val="8"/>
                <c:pt idx="0">
                  <c:v>0.56666666666666665</c:v>
                </c:pt>
                <c:pt idx="1">
                  <c:v>0.80530973451327437</c:v>
                </c:pt>
                <c:pt idx="2">
                  <c:v>0.66956521739130437</c:v>
                </c:pt>
                <c:pt idx="3">
                  <c:v>0.25203252032520324</c:v>
                </c:pt>
                <c:pt idx="4">
                  <c:v>0.30158730158730157</c:v>
                </c:pt>
                <c:pt idx="5">
                  <c:v>0.1721311475409836</c:v>
                </c:pt>
                <c:pt idx="6">
                  <c:v>7.575757575757576E-2</c:v>
                </c:pt>
                <c:pt idx="7">
                  <c:v>3.7037037037037035E-2</c:v>
                </c:pt>
              </c:numCache>
            </c:numRef>
          </c:val>
          <c:extLst xmlns:c16r2="http://schemas.microsoft.com/office/drawing/2015/06/chart">
            <c:ext xmlns:c16="http://schemas.microsoft.com/office/drawing/2014/chart" uri="{C3380CC4-5D6E-409C-BE32-E72D297353CC}">
              <c16:uniqueId val="{00000000-C66A-4BC4-9425-F2441552666B}"/>
            </c:ext>
          </c:extLst>
        </c:ser>
        <c:ser>
          <c:idx val="1"/>
          <c:order val="1"/>
          <c:tx>
            <c:strRef>
              <c:f>Objecttypes!$AC$4</c:f>
              <c:strCache>
                <c:ptCount val="1"/>
                <c:pt idx="0">
                  <c:v>In digitale collectie</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nl-NL"/>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Objecttypes!$AA$5:$AA$12</c:f>
              <c:strCache>
                <c:ptCount val="8"/>
                <c:pt idx="0">
                  <c:v>Digitaal interactieve erfgoedbronnen</c:v>
                </c:pt>
                <c:pt idx="1">
                  <c:v>Natuurobjecten</c:v>
                </c:pt>
                <c:pt idx="2">
                  <c:v>Locatiegebonden erfgoed</c:v>
                </c:pt>
                <c:pt idx="3">
                  <c:v>Erfgoedobjecten met dimensie tijd</c:v>
                </c:pt>
                <c:pt idx="4">
                  <c:v>Door de mens gemaakte 3D-objecten</c:v>
                </c:pt>
                <c:pt idx="5">
                  <c:v>Archiefmateriaal</c:v>
                </c:pt>
                <c:pt idx="6">
                  <c:v>Tekstuele bronnen</c:v>
                </c:pt>
                <c:pt idx="7">
                  <c:v>Visuele (2D) bronnen</c:v>
                </c:pt>
              </c:strCache>
            </c:strRef>
          </c:cat>
          <c:val>
            <c:numRef>
              <c:f>Objecttypes!$AC$5:$AC$12</c:f>
              <c:numCache>
                <c:formatCode>0%</c:formatCode>
                <c:ptCount val="8"/>
                <c:pt idx="0">
                  <c:v>0.43333333333333335</c:v>
                </c:pt>
                <c:pt idx="1">
                  <c:v>7.0796460176991149E-2</c:v>
                </c:pt>
                <c:pt idx="2">
                  <c:v>9.5652173913043481E-2</c:v>
                </c:pt>
                <c:pt idx="3">
                  <c:v>0.56097560975609762</c:v>
                </c:pt>
                <c:pt idx="4">
                  <c:v>0.31746031746031744</c:v>
                </c:pt>
                <c:pt idx="5">
                  <c:v>0.5</c:v>
                </c:pt>
                <c:pt idx="6">
                  <c:v>0.4621212121212121</c:v>
                </c:pt>
                <c:pt idx="7">
                  <c:v>0.66666666666666663</c:v>
                </c:pt>
              </c:numCache>
            </c:numRef>
          </c:val>
          <c:extLst xmlns:c16r2="http://schemas.microsoft.com/office/drawing/2015/06/chart">
            <c:ext xmlns:c16="http://schemas.microsoft.com/office/drawing/2014/chart" uri="{C3380CC4-5D6E-409C-BE32-E72D297353CC}">
              <c16:uniqueId val="{00000001-C66A-4BC4-9425-F2441552666B}"/>
            </c:ext>
          </c:extLst>
        </c:ser>
        <c:ser>
          <c:idx val="2"/>
          <c:order val="2"/>
          <c:tx>
            <c:strRef>
              <c:f>Objecttypes!$AD$4</c:f>
              <c:strCache>
                <c:ptCount val="1"/>
                <c:pt idx="0">
                  <c:v>In analoge collectie</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nl-NL"/>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Objecttypes!$AA$5:$AA$12</c:f>
              <c:strCache>
                <c:ptCount val="8"/>
                <c:pt idx="0">
                  <c:v>Digitaal interactieve erfgoedbronnen</c:v>
                </c:pt>
                <c:pt idx="1">
                  <c:v>Natuurobjecten</c:v>
                </c:pt>
                <c:pt idx="2">
                  <c:v>Locatiegebonden erfgoed</c:v>
                </c:pt>
                <c:pt idx="3">
                  <c:v>Erfgoedobjecten met dimensie tijd</c:v>
                </c:pt>
                <c:pt idx="4">
                  <c:v>Door de mens gemaakte 3D-objecten</c:v>
                </c:pt>
                <c:pt idx="5">
                  <c:v>Archiefmateriaal</c:v>
                </c:pt>
                <c:pt idx="6">
                  <c:v>Tekstuele bronnen</c:v>
                </c:pt>
                <c:pt idx="7">
                  <c:v>Visuele (2D) bronnen</c:v>
                </c:pt>
              </c:strCache>
            </c:strRef>
          </c:cat>
          <c:val>
            <c:numRef>
              <c:f>Objecttypes!$AD$5:$AD$12</c:f>
              <c:numCache>
                <c:formatCode>0%</c:formatCode>
                <c:ptCount val="8"/>
                <c:pt idx="1">
                  <c:v>0.18584070796460178</c:v>
                </c:pt>
                <c:pt idx="2">
                  <c:v>0.33043478260869563</c:v>
                </c:pt>
                <c:pt idx="3">
                  <c:v>0.67479674796747968</c:v>
                </c:pt>
                <c:pt idx="4">
                  <c:v>0.67460317460317465</c:v>
                </c:pt>
                <c:pt idx="5">
                  <c:v>0.81967213114754101</c:v>
                </c:pt>
                <c:pt idx="6">
                  <c:v>0.91666666666666663</c:v>
                </c:pt>
                <c:pt idx="7">
                  <c:v>0.93333333333333335</c:v>
                </c:pt>
              </c:numCache>
            </c:numRef>
          </c:val>
          <c:extLst xmlns:c16r2="http://schemas.microsoft.com/office/drawing/2015/06/chart">
            <c:ext xmlns:c16="http://schemas.microsoft.com/office/drawing/2014/chart" uri="{C3380CC4-5D6E-409C-BE32-E72D297353CC}">
              <c16:uniqueId val="{00000002-C66A-4BC4-9425-F2441552666B}"/>
            </c:ext>
          </c:extLst>
        </c:ser>
        <c:dLbls>
          <c:showLegendKey val="0"/>
          <c:showVal val="1"/>
          <c:showCatName val="0"/>
          <c:showSerName val="0"/>
          <c:showPercent val="0"/>
          <c:showBubbleSize val="0"/>
        </c:dLbls>
        <c:gapWidth val="65"/>
        <c:axId val="91617536"/>
        <c:axId val="91631616"/>
      </c:barChart>
      <c:catAx>
        <c:axId val="91617536"/>
        <c:scaling>
          <c:orientation val="minMax"/>
        </c:scaling>
        <c:delete val="0"/>
        <c:axPos val="l"/>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nl-NL"/>
          </a:p>
        </c:txPr>
        <c:crossAx val="91631616"/>
        <c:crosses val="autoZero"/>
        <c:auto val="1"/>
        <c:lblAlgn val="ctr"/>
        <c:lblOffset val="100"/>
        <c:noMultiLvlLbl val="0"/>
      </c:catAx>
      <c:valAx>
        <c:axId val="91631616"/>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nl-NL"/>
          </a:p>
        </c:txPr>
        <c:crossAx val="91617536"/>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nl-NL"/>
    </a:p>
  </c:txPr>
  <c:printSettings>
    <c:headerFooter/>
    <c:pageMargins b="0.75000000000000089" l="0.70000000000000062" r="0.70000000000000062" t="0.75000000000000089"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nl-NL"/>
              <a:t>Aanwezigheid typen digitaal erfgoed per sector (n=136)</a:t>
            </a:r>
          </a:p>
        </c:rich>
      </c:tx>
      <c:overlay val="0"/>
      <c:spPr>
        <a:noFill/>
        <a:ln>
          <a:noFill/>
        </a:ln>
        <a:effectLst/>
      </c:spPr>
    </c:title>
    <c:autoTitleDeleted val="0"/>
    <c:plotArea>
      <c:layout/>
      <c:barChart>
        <c:barDir val="bar"/>
        <c:grouping val="clustered"/>
        <c:varyColors val="0"/>
        <c:ser>
          <c:idx val="0"/>
          <c:order val="0"/>
          <c:tx>
            <c:strRef>
              <c:f>Objecttypes!$AH$5</c:f>
              <c:strCache>
                <c:ptCount val="1"/>
                <c:pt idx="0">
                  <c:v>Archieven (n=36)</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nl-NL"/>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Objecttypes!$AG$6:$AG$13</c:f>
              <c:strCache>
                <c:ptCount val="8"/>
                <c:pt idx="0">
                  <c:v>Digitaal interactieve erfgoedbronnen</c:v>
                </c:pt>
                <c:pt idx="1">
                  <c:v>Natuurobjecten</c:v>
                </c:pt>
                <c:pt idx="2">
                  <c:v>Locatiegebonden erfgoed</c:v>
                </c:pt>
                <c:pt idx="3">
                  <c:v>Erfgoedobjecten met dimensie tijd</c:v>
                </c:pt>
                <c:pt idx="4">
                  <c:v>Door de mens gemaakte 3D-objecten</c:v>
                </c:pt>
                <c:pt idx="5">
                  <c:v>Archiefmateriaal</c:v>
                </c:pt>
                <c:pt idx="6">
                  <c:v>Tekstuele bronnen</c:v>
                </c:pt>
                <c:pt idx="7">
                  <c:v>Visuele (2D) bronnen</c:v>
                </c:pt>
              </c:strCache>
            </c:strRef>
          </c:cat>
          <c:val>
            <c:numRef>
              <c:f>Objecttypes!$AH$6:$AH$13</c:f>
              <c:numCache>
                <c:formatCode>0%</c:formatCode>
                <c:ptCount val="8"/>
                <c:pt idx="0">
                  <c:v>0.625</c:v>
                </c:pt>
                <c:pt idx="1">
                  <c:v>0</c:v>
                </c:pt>
                <c:pt idx="2">
                  <c:v>7.407407407407407E-2</c:v>
                </c:pt>
                <c:pt idx="3">
                  <c:v>0.70967741935483875</c:v>
                </c:pt>
                <c:pt idx="4">
                  <c:v>0.14285714285714285</c:v>
                </c:pt>
                <c:pt idx="5">
                  <c:v>0.81818181818181823</c:v>
                </c:pt>
                <c:pt idx="6">
                  <c:v>0.62857142857142856</c:v>
                </c:pt>
                <c:pt idx="7">
                  <c:v>0.83333333333333337</c:v>
                </c:pt>
              </c:numCache>
            </c:numRef>
          </c:val>
          <c:extLst xmlns:c16r2="http://schemas.microsoft.com/office/drawing/2015/06/chart">
            <c:ext xmlns:c16="http://schemas.microsoft.com/office/drawing/2014/chart" uri="{C3380CC4-5D6E-409C-BE32-E72D297353CC}">
              <c16:uniqueId val="{00000000-D7BC-4A22-B3E6-42AFE4CD6FC9}"/>
            </c:ext>
          </c:extLst>
        </c:ser>
        <c:ser>
          <c:idx val="1"/>
          <c:order val="1"/>
          <c:tx>
            <c:strRef>
              <c:f>Objecttypes!$AI$5</c:f>
              <c:strCache>
                <c:ptCount val="1"/>
                <c:pt idx="0">
                  <c:v>Bibliotheken (n=5)</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nl-NL"/>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Objecttypes!$AG$6:$AG$13</c:f>
              <c:strCache>
                <c:ptCount val="8"/>
                <c:pt idx="0">
                  <c:v>Digitaal interactieve erfgoedbronnen</c:v>
                </c:pt>
                <c:pt idx="1">
                  <c:v>Natuurobjecten</c:v>
                </c:pt>
                <c:pt idx="2">
                  <c:v>Locatiegebonden erfgoed</c:v>
                </c:pt>
                <c:pt idx="3">
                  <c:v>Erfgoedobjecten met dimensie tijd</c:v>
                </c:pt>
                <c:pt idx="4">
                  <c:v>Door de mens gemaakte 3D-objecten</c:v>
                </c:pt>
                <c:pt idx="5">
                  <c:v>Archiefmateriaal</c:v>
                </c:pt>
                <c:pt idx="6">
                  <c:v>Tekstuele bronnen</c:v>
                </c:pt>
                <c:pt idx="7">
                  <c:v>Visuele (2D) bronnen</c:v>
                </c:pt>
              </c:strCache>
            </c:strRef>
          </c:cat>
          <c:val>
            <c:numRef>
              <c:f>Objecttypes!$AI$6:$AI$13</c:f>
              <c:numCache>
                <c:formatCode>0%</c:formatCode>
                <c:ptCount val="8"/>
                <c:pt idx="0">
                  <c:v>0.66666666666666663</c:v>
                </c:pt>
                <c:pt idx="1">
                  <c:v>0</c:v>
                </c:pt>
                <c:pt idx="2">
                  <c:v>0</c:v>
                </c:pt>
                <c:pt idx="3">
                  <c:v>0.66666666666666663</c:v>
                </c:pt>
                <c:pt idx="4">
                  <c:v>0.5</c:v>
                </c:pt>
                <c:pt idx="5">
                  <c:v>1</c:v>
                </c:pt>
                <c:pt idx="6">
                  <c:v>0.8</c:v>
                </c:pt>
                <c:pt idx="7">
                  <c:v>0.8</c:v>
                </c:pt>
              </c:numCache>
            </c:numRef>
          </c:val>
          <c:extLst xmlns:c16r2="http://schemas.microsoft.com/office/drawing/2015/06/chart">
            <c:ext xmlns:c16="http://schemas.microsoft.com/office/drawing/2014/chart" uri="{C3380CC4-5D6E-409C-BE32-E72D297353CC}">
              <c16:uniqueId val="{00000001-D7BC-4A22-B3E6-42AFE4CD6FC9}"/>
            </c:ext>
          </c:extLst>
        </c:ser>
        <c:ser>
          <c:idx val="2"/>
          <c:order val="2"/>
          <c:tx>
            <c:strRef>
              <c:f>Objecttypes!$AJ$5</c:f>
              <c:strCache>
                <c:ptCount val="1"/>
                <c:pt idx="0">
                  <c:v>Musea (n=80)</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nl-NL"/>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Objecttypes!$AG$6:$AG$13</c:f>
              <c:strCache>
                <c:ptCount val="8"/>
                <c:pt idx="0">
                  <c:v>Digitaal interactieve erfgoedbronnen</c:v>
                </c:pt>
                <c:pt idx="1">
                  <c:v>Natuurobjecten</c:v>
                </c:pt>
                <c:pt idx="2">
                  <c:v>Locatiegebonden erfgoed</c:v>
                </c:pt>
                <c:pt idx="3">
                  <c:v>Erfgoedobjecten met dimensie tijd</c:v>
                </c:pt>
                <c:pt idx="4">
                  <c:v>Door de mens gemaakte 3D-objecten</c:v>
                </c:pt>
                <c:pt idx="5">
                  <c:v>Archiefmateriaal</c:v>
                </c:pt>
                <c:pt idx="6">
                  <c:v>Tekstuele bronnen</c:v>
                </c:pt>
                <c:pt idx="7">
                  <c:v>Visuele (2D) bronnen</c:v>
                </c:pt>
              </c:strCache>
            </c:strRef>
          </c:cat>
          <c:val>
            <c:numRef>
              <c:f>Objecttypes!$AJ$6:$AJ$13</c:f>
              <c:numCache>
                <c:formatCode>0%</c:formatCode>
                <c:ptCount val="8"/>
                <c:pt idx="0">
                  <c:v>0.28169014084507044</c:v>
                </c:pt>
                <c:pt idx="1">
                  <c:v>0.11428571428571428</c:v>
                </c:pt>
                <c:pt idx="2">
                  <c:v>0.12857142857142856</c:v>
                </c:pt>
                <c:pt idx="3">
                  <c:v>0.45333333333333331</c:v>
                </c:pt>
                <c:pt idx="4">
                  <c:v>0.1875</c:v>
                </c:pt>
                <c:pt idx="5">
                  <c:v>0.28378378378378377</c:v>
                </c:pt>
                <c:pt idx="6">
                  <c:v>0.33333333333333331</c:v>
                </c:pt>
                <c:pt idx="7">
                  <c:v>0.55000000000000004</c:v>
                </c:pt>
              </c:numCache>
            </c:numRef>
          </c:val>
          <c:extLst xmlns:c16r2="http://schemas.microsoft.com/office/drawing/2015/06/chart">
            <c:ext xmlns:c16="http://schemas.microsoft.com/office/drawing/2014/chart" uri="{C3380CC4-5D6E-409C-BE32-E72D297353CC}">
              <c16:uniqueId val="{00000002-D7BC-4A22-B3E6-42AFE4CD6FC9}"/>
            </c:ext>
          </c:extLst>
        </c:ser>
        <c:ser>
          <c:idx val="3"/>
          <c:order val="3"/>
          <c:tx>
            <c:strRef>
              <c:f>Objecttypes!$AK$5</c:f>
              <c:strCache>
                <c:ptCount val="1"/>
                <c:pt idx="0">
                  <c:v>Overig (n=15)</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nl-NL"/>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Objecttypes!$AG$6:$AG$13</c:f>
              <c:strCache>
                <c:ptCount val="8"/>
                <c:pt idx="0">
                  <c:v>Digitaal interactieve erfgoedbronnen</c:v>
                </c:pt>
                <c:pt idx="1">
                  <c:v>Natuurobjecten</c:v>
                </c:pt>
                <c:pt idx="2">
                  <c:v>Locatiegebonden erfgoed</c:v>
                </c:pt>
                <c:pt idx="3">
                  <c:v>Erfgoedobjecten met dimensie tijd</c:v>
                </c:pt>
                <c:pt idx="4">
                  <c:v>Door de mens gemaakte 3D-objecten</c:v>
                </c:pt>
                <c:pt idx="5">
                  <c:v>Archiefmateriaal</c:v>
                </c:pt>
                <c:pt idx="6">
                  <c:v>Tekstuele bronnen</c:v>
                </c:pt>
                <c:pt idx="7">
                  <c:v>Visuele (2D) bronnen</c:v>
                </c:pt>
              </c:strCache>
            </c:strRef>
          </c:cat>
          <c:val>
            <c:numRef>
              <c:f>Objecttypes!$AK$6:$AK$13</c:f>
              <c:numCache>
                <c:formatCode>0%</c:formatCode>
                <c:ptCount val="8"/>
                <c:pt idx="0">
                  <c:v>0.7142857142857143</c:v>
                </c:pt>
                <c:pt idx="1">
                  <c:v>0</c:v>
                </c:pt>
                <c:pt idx="2">
                  <c:v>0</c:v>
                </c:pt>
                <c:pt idx="3">
                  <c:v>0.7857142857142857</c:v>
                </c:pt>
                <c:pt idx="4">
                  <c:v>0.21428571428571427</c:v>
                </c:pt>
                <c:pt idx="5">
                  <c:v>0.76923076923076927</c:v>
                </c:pt>
                <c:pt idx="6">
                  <c:v>0.6428571428571429</c:v>
                </c:pt>
                <c:pt idx="7">
                  <c:v>0.8571428571428571</c:v>
                </c:pt>
              </c:numCache>
            </c:numRef>
          </c:val>
          <c:extLst xmlns:c16r2="http://schemas.microsoft.com/office/drawing/2015/06/chart">
            <c:ext xmlns:c16="http://schemas.microsoft.com/office/drawing/2014/chart" uri="{C3380CC4-5D6E-409C-BE32-E72D297353CC}">
              <c16:uniqueId val="{00000003-D7BC-4A22-B3E6-42AFE4CD6FC9}"/>
            </c:ext>
          </c:extLst>
        </c:ser>
        <c:dLbls>
          <c:showLegendKey val="0"/>
          <c:showVal val="1"/>
          <c:showCatName val="0"/>
          <c:showSerName val="0"/>
          <c:showPercent val="0"/>
          <c:showBubbleSize val="0"/>
        </c:dLbls>
        <c:gapWidth val="65"/>
        <c:axId val="85788544"/>
        <c:axId val="85790080"/>
      </c:barChart>
      <c:catAx>
        <c:axId val="85788544"/>
        <c:scaling>
          <c:orientation val="minMax"/>
        </c:scaling>
        <c:delete val="0"/>
        <c:axPos val="l"/>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nl-NL"/>
          </a:p>
        </c:txPr>
        <c:crossAx val="85790080"/>
        <c:crosses val="autoZero"/>
        <c:auto val="1"/>
        <c:lblAlgn val="ctr"/>
        <c:lblOffset val="100"/>
        <c:noMultiLvlLbl val="0"/>
      </c:catAx>
      <c:valAx>
        <c:axId val="85790080"/>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nl-NL"/>
          </a:p>
        </c:txPr>
        <c:crossAx val="85788544"/>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nl-NL"/>
    </a:p>
  </c:txPr>
  <c:printSettings>
    <c:headerFooter/>
    <c:pageMargins b="0.75000000000000078" l="0.70000000000000062" r="0.70000000000000062" t="0.75000000000000078"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nl-NL"/>
              <a:t>Aanwezigheid typen analoog erfgoed per sector (n=136)</a:t>
            </a:r>
          </a:p>
        </c:rich>
      </c:tx>
      <c:overlay val="0"/>
      <c:spPr>
        <a:noFill/>
        <a:ln>
          <a:noFill/>
        </a:ln>
        <a:effectLst/>
      </c:spPr>
    </c:title>
    <c:autoTitleDeleted val="0"/>
    <c:plotArea>
      <c:layout/>
      <c:barChart>
        <c:barDir val="bar"/>
        <c:grouping val="clustered"/>
        <c:varyColors val="0"/>
        <c:ser>
          <c:idx val="0"/>
          <c:order val="0"/>
          <c:tx>
            <c:strRef>
              <c:f>Objecttypes!$AN$5</c:f>
              <c:strCache>
                <c:ptCount val="1"/>
                <c:pt idx="0">
                  <c:v>Archieven (n=36)</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nl-NL"/>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Objecttypes!$AM$6:$AM$12</c:f>
              <c:strCache>
                <c:ptCount val="7"/>
                <c:pt idx="0">
                  <c:v>Natuurobjecten</c:v>
                </c:pt>
                <c:pt idx="1">
                  <c:v>Locatiegebonden erfgoed</c:v>
                </c:pt>
                <c:pt idx="2">
                  <c:v>Erfgoedobjecten met dimensie tijd</c:v>
                </c:pt>
                <c:pt idx="3">
                  <c:v>Door de mens gemaakte 3D-objecten</c:v>
                </c:pt>
                <c:pt idx="4">
                  <c:v>Archiefmateriaal</c:v>
                </c:pt>
                <c:pt idx="5">
                  <c:v>Tekstuele bronnen</c:v>
                </c:pt>
                <c:pt idx="6">
                  <c:v>Visuele (2D) bronnen</c:v>
                </c:pt>
              </c:strCache>
            </c:strRef>
          </c:cat>
          <c:val>
            <c:numRef>
              <c:f>Objecttypes!$AN$6:$AN$12</c:f>
              <c:numCache>
                <c:formatCode>0%</c:formatCode>
                <c:ptCount val="7"/>
                <c:pt idx="0">
                  <c:v>3.7037037037037035E-2</c:v>
                </c:pt>
                <c:pt idx="1">
                  <c:v>0.1111111111111111</c:v>
                </c:pt>
                <c:pt idx="2">
                  <c:v>0.93548387096774188</c:v>
                </c:pt>
                <c:pt idx="3">
                  <c:v>0.35714285714285715</c:v>
                </c:pt>
                <c:pt idx="4">
                  <c:v>1</c:v>
                </c:pt>
                <c:pt idx="5">
                  <c:v>1</c:v>
                </c:pt>
                <c:pt idx="6">
                  <c:v>0.97222222222222221</c:v>
                </c:pt>
              </c:numCache>
            </c:numRef>
          </c:val>
          <c:extLst xmlns:c16r2="http://schemas.microsoft.com/office/drawing/2015/06/chart">
            <c:ext xmlns:c16="http://schemas.microsoft.com/office/drawing/2014/chart" uri="{C3380CC4-5D6E-409C-BE32-E72D297353CC}">
              <c16:uniqueId val="{00000000-295A-4E9D-A2C1-8745BC08C0CA}"/>
            </c:ext>
          </c:extLst>
        </c:ser>
        <c:ser>
          <c:idx val="1"/>
          <c:order val="1"/>
          <c:tx>
            <c:strRef>
              <c:f>Objecttypes!$AO$5</c:f>
              <c:strCache>
                <c:ptCount val="1"/>
                <c:pt idx="0">
                  <c:v>Bibliotheken (n=5)</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nl-NL"/>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Objecttypes!$AM$6:$AM$12</c:f>
              <c:strCache>
                <c:ptCount val="7"/>
                <c:pt idx="0">
                  <c:v>Natuurobjecten</c:v>
                </c:pt>
                <c:pt idx="1">
                  <c:v>Locatiegebonden erfgoed</c:v>
                </c:pt>
                <c:pt idx="2">
                  <c:v>Erfgoedobjecten met dimensie tijd</c:v>
                </c:pt>
                <c:pt idx="3">
                  <c:v>Door de mens gemaakte 3D-objecten</c:v>
                </c:pt>
                <c:pt idx="4">
                  <c:v>Archiefmateriaal</c:v>
                </c:pt>
                <c:pt idx="5">
                  <c:v>Tekstuele bronnen</c:v>
                </c:pt>
                <c:pt idx="6">
                  <c:v>Visuele (2D) bronnen</c:v>
                </c:pt>
              </c:strCache>
            </c:strRef>
          </c:cat>
          <c:val>
            <c:numRef>
              <c:f>Objecttypes!$AO$6:$AO$12</c:f>
              <c:numCache>
                <c:formatCode>0%</c:formatCode>
                <c:ptCount val="7"/>
                <c:pt idx="0">
                  <c:v>0</c:v>
                </c:pt>
                <c:pt idx="1">
                  <c:v>0.25</c:v>
                </c:pt>
                <c:pt idx="2">
                  <c:v>0.66666666666666663</c:v>
                </c:pt>
                <c:pt idx="3">
                  <c:v>0.5</c:v>
                </c:pt>
                <c:pt idx="4">
                  <c:v>1</c:v>
                </c:pt>
                <c:pt idx="5">
                  <c:v>1</c:v>
                </c:pt>
                <c:pt idx="6">
                  <c:v>1</c:v>
                </c:pt>
              </c:numCache>
            </c:numRef>
          </c:val>
          <c:extLst xmlns:c16r2="http://schemas.microsoft.com/office/drawing/2015/06/chart">
            <c:ext xmlns:c16="http://schemas.microsoft.com/office/drawing/2014/chart" uri="{C3380CC4-5D6E-409C-BE32-E72D297353CC}">
              <c16:uniqueId val="{00000001-295A-4E9D-A2C1-8745BC08C0CA}"/>
            </c:ext>
          </c:extLst>
        </c:ser>
        <c:ser>
          <c:idx val="2"/>
          <c:order val="2"/>
          <c:tx>
            <c:strRef>
              <c:f>Objecttypes!$AP$5</c:f>
              <c:strCache>
                <c:ptCount val="1"/>
                <c:pt idx="0">
                  <c:v>Musea (n=80)</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nl-NL"/>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Objecttypes!$AM$6:$AM$12</c:f>
              <c:strCache>
                <c:ptCount val="7"/>
                <c:pt idx="0">
                  <c:v>Natuurobjecten</c:v>
                </c:pt>
                <c:pt idx="1">
                  <c:v>Locatiegebonden erfgoed</c:v>
                </c:pt>
                <c:pt idx="2">
                  <c:v>Erfgoedobjecten met dimensie tijd</c:v>
                </c:pt>
                <c:pt idx="3">
                  <c:v>Door de mens gemaakte 3D-objecten</c:v>
                </c:pt>
                <c:pt idx="4">
                  <c:v>Archiefmateriaal</c:v>
                </c:pt>
                <c:pt idx="5">
                  <c:v>Tekstuele bronnen</c:v>
                </c:pt>
                <c:pt idx="6">
                  <c:v>Visuele (2D) bronnen</c:v>
                </c:pt>
              </c:strCache>
            </c:strRef>
          </c:cat>
          <c:val>
            <c:numRef>
              <c:f>Objecttypes!$AP$6:$AP$12</c:f>
              <c:numCache>
                <c:formatCode>0%</c:formatCode>
                <c:ptCount val="7"/>
                <c:pt idx="0">
                  <c:v>0.25714285714285712</c:v>
                </c:pt>
                <c:pt idx="1">
                  <c:v>0.42857142857142855</c:v>
                </c:pt>
                <c:pt idx="2">
                  <c:v>0.6</c:v>
                </c:pt>
                <c:pt idx="3">
                  <c:v>0.78749999999999998</c:v>
                </c:pt>
                <c:pt idx="4">
                  <c:v>0.72972972972972971</c:v>
                </c:pt>
                <c:pt idx="5">
                  <c:v>0.85897435897435892</c:v>
                </c:pt>
                <c:pt idx="6">
                  <c:v>0.91249999999999998</c:v>
                </c:pt>
              </c:numCache>
            </c:numRef>
          </c:val>
          <c:extLst xmlns:c16r2="http://schemas.microsoft.com/office/drawing/2015/06/chart">
            <c:ext xmlns:c16="http://schemas.microsoft.com/office/drawing/2014/chart" uri="{C3380CC4-5D6E-409C-BE32-E72D297353CC}">
              <c16:uniqueId val="{00000002-295A-4E9D-A2C1-8745BC08C0CA}"/>
            </c:ext>
          </c:extLst>
        </c:ser>
        <c:ser>
          <c:idx val="3"/>
          <c:order val="3"/>
          <c:tx>
            <c:strRef>
              <c:f>Objecttypes!$AQ$5</c:f>
              <c:strCache>
                <c:ptCount val="1"/>
                <c:pt idx="0">
                  <c:v>Overig (n=15)</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nl-NL"/>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Objecttypes!$AM$6:$AM$12</c:f>
              <c:strCache>
                <c:ptCount val="7"/>
                <c:pt idx="0">
                  <c:v>Natuurobjecten</c:v>
                </c:pt>
                <c:pt idx="1">
                  <c:v>Locatiegebonden erfgoed</c:v>
                </c:pt>
                <c:pt idx="2">
                  <c:v>Erfgoedobjecten met dimensie tijd</c:v>
                </c:pt>
                <c:pt idx="3">
                  <c:v>Door de mens gemaakte 3D-objecten</c:v>
                </c:pt>
                <c:pt idx="4">
                  <c:v>Archiefmateriaal</c:v>
                </c:pt>
                <c:pt idx="5">
                  <c:v>Tekstuele bronnen</c:v>
                </c:pt>
                <c:pt idx="6">
                  <c:v>Visuele (2D) bronnen</c:v>
                </c:pt>
              </c:strCache>
            </c:strRef>
          </c:cat>
          <c:val>
            <c:numRef>
              <c:f>Objecttypes!$AQ$6:$AQ$12</c:f>
              <c:numCache>
                <c:formatCode>0%</c:formatCode>
                <c:ptCount val="7"/>
                <c:pt idx="0">
                  <c:v>0.15384615384615385</c:v>
                </c:pt>
                <c:pt idx="1">
                  <c:v>0.2857142857142857</c:v>
                </c:pt>
                <c:pt idx="2">
                  <c:v>0.5</c:v>
                </c:pt>
                <c:pt idx="3">
                  <c:v>0.7142857142857143</c:v>
                </c:pt>
                <c:pt idx="4">
                  <c:v>0.84615384615384615</c:v>
                </c:pt>
                <c:pt idx="5">
                  <c:v>1</c:v>
                </c:pt>
                <c:pt idx="6">
                  <c:v>1</c:v>
                </c:pt>
              </c:numCache>
            </c:numRef>
          </c:val>
          <c:extLst xmlns:c16r2="http://schemas.microsoft.com/office/drawing/2015/06/chart">
            <c:ext xmlns:c16="http://schemas.microsoft.com/office/drawing/2014/chart" uri="{C3380CC4-5D6E-409C-BE32-E72D297353CC}">
              <c16:uniqueId val="{00000003-295A-4E9D-A2C1-8745BC08C0CA}"/>
            </c:ext>
          </c:extLst>
        </c:ser>
        <c:dLbls>
          <c:showLegendKey val="0"/>
          <c:showVal val="1"/>
          <c:showCatName val="0"/>
          <c:showSerName val="0"/>
          <c:showPercent val="0"/>
          <c:showBubbleSize val="0"/>
        </c:dLbls>
        <c:gapWidth val="65"/>
        <c:axId val="93917952"/>
        <c:axId val="93919488"/>
      </c:barChart>
      <c:catAx>
        <c:axId val="93917952"/>
        <c:scaling>
          <c:orientation val="minMax"/>
        </c:scaling>
        <c:delete val="0"/>
        <c:axPos val="l"/>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nl-NL"/>
          </a:p>
        </c:txPr>
        <c:crossAx val="93919488"/>
        <c:crosses val="autoZero"/>
        <c:auto val="1"/>
        <c:lblAlgn val="ctr"/>
        <c:lblOffset val="100"/>
        <c:noMultiLvlLbl val="0"/>
      </c:catAx>
      <c:valAx>
        <c:axId val="93919488"/>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nl-NL"/>
          </a:p>
        </c:txPr>
        <c:crossAx val="9391795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nl-NL"/>
    </a:p>
  </c:txPr>
  <c:printSettings>
    <c:headerFooter/>
    <c:pageMargins b="0.75000000000000078" l="0.70000000000000062" r="0.70000000000000062" t="0.75000000000000078"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Aanwezigheid analoge materiaaltypen</a:t>
            </a:r>
            <a:r>
              <a:rPr lang="nl-NL" baseline="0"/>
              <a:t> erfgoed verdeeld over sectoren (n=136)</a:t>
            </a:r>
            <a:endParaRPr lang="nl-NL"/>
          </a:p>
        </c:rich>
      </c:tx>
      <c:overlay val="0"/>
    </c:title>
    <c:autoTitleDeleted val="0"/>
    <c:plotArea>
      <c:layout/>
      <c:barChart>
        <c:barDir val="col"/>
        <c:grouping val="percentStacked"/>
        <c:varyColors val="0"/>
        <c:ser>
          <c:idx val="0"/>
          <c:order val="0"/>
          <c:tx>
            <c:strRef>
              <c:f>Objecttypes!$AT$5</c:f>
              <c:strCache>
                <c:ptCount val="1"/>
                <c:pt idx="0">
                  <c:v>Archieven (n=36)</c:v>
                </c:pt>
              </c:strCache>
            </c:strRef>
          </c:tx>
          <c:invertIfNegative val="0"/>
          <c:cat>
            <c:strRef>
              <c:f>Objecttypes!$AS$6:$AS$12</c:f>
              <c:strCache>
                <c:ptCount val="7"/>
                <c:pt idx="0">
                  <c:v>Tekstuele bronnen</c:v>
                </c:pt>
                <c:pt idx="1">
                  <c:v>Archiefmateriaal</c:v>
                </c:pt>
                <c:pt idx="2">
                  <c:v>Visuele (2D) bronnen</c:v>
                </c:pt>
                <c:pt idx="3">
                  <c:v>Door de mens gemaakte 3D-objecten</c:v>
                </c:pt>
                <c:pt idx="4">
                  <c:v>Erfgoedobjecten met dimensie tijd</c:v>
                </c:pt>
                <c:pt idx="5">
                  <c:v>Locatiegebonden erfgoed</c:v>
                </c:pt>
                <c:pt idx="6">
                  <c:v>Natuurobjecten</c:v>
                </c:pt>
              </c:strCache>
            </c:strRef>
          </c:cat>
          <c:val>
            <c:numRef>
              <c:f>Objecttypes!$AT$6:$AT$12</c:f>
              <c:numCache>
                <c:formatCode>0%</c:formatCode>
                <c:ptCount val="7"/>
                <c:pt idx="0">
                  <c:v>1</c:v>
                </c:pt>
                <c:pt idx="1">
                  <c:v>1</c:v>
                </c:pt>
                <c:pt idx="2">
                  <c:v>0.97222222222222221</c:v>
                </c:pt>
                <c:pt idx="3">
                  <c:v>0.35714285714285715</c:v>
                </c:pt>
                <c:pt idx="4">
                  <c:v>0.93548387096774188</c:v>
                </c:pt>
                <c:pt idx="5">
                  <c:v>0.1111111111111111</c:v>
                </c:pt>
                <c:pt idx="6">
                  <c:v>3.7037037037037035E-2</c:v>
                </c:pt>
              </c:numCache>
            </c:numRef>
          </c:val>
          <c:extLst xmlns:c16r2="http://schemas.microsoft.com/office/drawing/2015/06/chart">
            <c:ext xmlns:c16="http://schemas.microsoft.com/office/drawing/2014/chart" uri="{C3380CC4-5D6E-409C-BE32-E72D297353CC}">
              <c16:uniqueId val="{00000000-A9BC-4BF4-B6C1-47E233996CED}"/>
            </c:ext>
          </c:extLst>
        </c:ser>
        <c:ser>
          <c:idx val="1"/>
          <c:order val="1"/>
          <c:tx>
            <c:strRef>
              <c:f>Objecttypes!$AU$5</c:f>
              <c:strCache>
                <c:ptCount val="1"/>
                <c:pt idx="0">
                  <c:v>Bibliotheken (n=5)</c:v>
                </c:pt>
              </c:strCache>
            </c:strRef>
          </c:tx>
          <c:invertIfNegative val="0"/>
          <c:cat>
            <c:strRef>
              <c:f>Objecttypes!$AS$6:$AS$12</c:f>
              <c:strCache>
                <c:ptCount val="7"/>
                <c:pt idx="0">
                  <c:v>Tekstuele bronnen</c:v>
                </c:pt>
                <c:pt idx="1">
                  <c:v>Archiefmateriaal</c:v>
                </c:pt>
                <c:pt idx="2">
                  <c:v>Visuele (2D) bronnen</c:v>
                </c:pt>
                <c:pt idx="3">
                  <c:v>Door de mens gemaakte 3D-objecten</c:v>
                </c:pt>
                <c:pt idx="4">
                  <c:v>Erfgoedobjecten met dimensie tijd</c:v>
                </c:pt>
                <c:pt idx="5">
                  <c:v>Locatiegebonden erfgoed</c:v>
                </c:pt>
                <c:pt idx="6">
                  <c:v>Natuurobjecten</c:v>
                </c:pt>
              </c:strCache>
            </c:strRef>
          </c:cat>
          <c:val>
            <c:numRef>
              <c:f>Objecttypes!$AU$6:$AU$12</c:f>
              <c:numCache>
                <c:formatCode>0%</c:formatCode>
                <c:ptCount val="7"/>
                <c:pt idx="0">
                  <c:v>1</c:v>
                </c:pt>
                <c:pt idx="1">
                  <c:v>1</c:v>
                </c:pt>
                <c:pt idx="2">
                  <c:v>1</c:v>
                </c:pt>
                <c:pt idx="3">
                  <c:v>0.5</c:v>
                </c:pt>
                <c:pt idx="4">
                  <c:v>0.66666666666666663</c:v>
                </c:pt>
                <c:pt idx="5">
                  <c:v>0.25</c:v>
                </c:pt>
                <c:pt idx="6">
                  <c:v>0</c:v>
                </c:pt>
              </c:numCache>
            </c:numRef>
          </c:val>
          <c:extLst xmlns:c16r2="http://schemas.microsoft.com/office/drawing/2015/06/chart">
            <c:ext xmlns:c16="http://schemas.microsoft.com/office/drawing/2014/chart" uri="{C3380CC4-5D6E-409C-BE32-E72D297353CC}">
              <c16:uniqueId val="{00000001-A9BC-4BF4-B6C1-47E233996CED}"/>
            </c:ext>
          </c:extLst>
        </c:ser>
        <c:ser>
          <c:idx val="2"/>
          <c:order val="2"/>
          <c:tx>
            <c:strRef>
              <c:f>Objecttypes!$AV$5</c:f>
              <c:strCache>
                <c:ptCount val="1"/>
                <c:pt idx="0">
                  <c:v>Musea (n=80)</c:v>
                </c:pt>
              </c:strCache>
            </c:strRef>
          </c:tx>
          <c:invertIfNegative val="0"/>
          <c:cat>
            <c:strRef>
              <c:f>Objecttypes!$AS$6:$AS$12</c:f>
              <c:strCache>
                <c:ptCount val="7"/>
                <c:pt idx="0">
                  <c:v>Tekstuele bronnen</c:v>
                </c:pt>
                <c:pt idx="1">
                  <c:v>Archiefmateriaal</c:v>
                </c:pt>
                <c:pt idx="2">
                  <c:v>Visuele (2D) bronnen</c:v>
                </c:pt>
                <c:pt idx="3">
                  <c:v>Door de mens gemaakte 3D-objecten</c:v>
                </c:pt>
                <c:pt idx="4">
                  <c:v>Erfgoedobjecten met dimensie tijd</c:v>
                </c:pt>
                <c:pt idx="5">
                  <c:v>Locatiegebonden erfgoed</c:v>
                </c:pt>
                <c:pt idx="6">
                  <c:v>Natuurobjecten</c:v>
                </c:pt>
              </c:strCache>
            </c:strRef>
          </c:cat>
          <c:val>
            <c:numRef>
              <c:f>Objecttypes!$AV$6:$AV$12</c:f>
              <c:numCache>
                <c:formatCode>0%</c:formatCode>
                <c:ptCount val="7"/>
                <c:pt idx="0">
                  <c:v>0.85897435897435892</c:v>
                </c:pt>
                <c:pt idx="1">
                  <c:v>0.72972972972972971</c:v>
                </c:pt>
                <c:pt idx="2">
                  <c:v>0.91249999999999998</c:v>
                </c:pt>
                <c:pt idx="3">
                  <c:v>0.78749999999999998</c:v>
                </c:pt>
                <c:pt idx="4">
                  <c:v>0.6</c:v>
                </c:pt>
                <c:pt idx="5">
                  <c:v>0.42857142857142855</c:v>
                </c:pt>
                <c:pt idx="6">
                  <c:v>0.25714285714285712</c:v>
                </c:pt>
              </c:numCache>
            </c:numRef>
          </c:val>
          <c:extLst xmlns:c16r2="http://schemas.microsoft.com/office/drawing/2015/06/chart">
            <c:ext xmlns:c16="http://schemas.microsoft.com/office/drawing/2014/chart" uri="{C3380CC4-5D6E-409C-BE32-E72D297353CC}">
              <c16:uniqueId val="{00000002-A9BC-4BF4-B6C1-47E233996CED}"/>
            </c:ext>
          </c:extLst>
        </c:ser>
        <c:ser>
          <c:idx val="3"/>
          <c:order val="3"/>
          <c:tx>
            <c:strRef>
              <c:f>Objecttypes!$AW$5</c:f>
              <c:strCache>
                <c:ptCount val="1"/>
                <c:pt idx="0">
                  <c:v>Overig (n=15)</c:v>
                </c:pt>
              </c:strCache>
            </c:strRef>
          </c:tx>
          <c:invertIfNegative val="0"/>
          <c:cat>
            <c:strRef>
              <c:f>Objecttypes!$AS$6:$AS$12</c:f>
              <c:strCache>
                <c:ptCount val="7"/>
                <c:pt idx="0">
                  <c:v>Tekstuele bronnen</c:v>
                </c:pt>
                <c:pt idx="1">
                  <c:v>Archiefmateriaal</c:v>
                </c:pt>
                <c:pt idx="2">
                  <c:v>Visuele (2D) bronnen</c:v>
                </c:pt>
                <c:pt idx="3">
                  <c:v>Door de mens gemaakte 3D-objecten</c:v>
                </c:pt>
                <c:pt idx="4">
                  <c:v>Erfgoedobjecten met dimensie tijd</c:v>
                </c:pt>
                <c:pt idx="5">
                  <c:v>Locatiegebonden erfgoed</c:v>
                </c:pt>
                <c:pt idx="6">
                  <c:v>Natuurobjecten</c:v>
                </c:pt>
              </c:strCache>
            </c:strRef>
          </c:cat>
          <c:val>
            <c:numRef>
              <c:f>Objecttypes!$AW$6:$AW$12</c:f>
              <c:numCache>
                <c:formatCode>0%</c:formatCode>
                <c:ptCount val="7"/>
                <c:pt idx="0">
                  <c:v>1</c:v>
                </c:pt>
                <c:pt idx="1">
                  <c:v>0.84615384615384615</c:v>
                </c:pt>
                <c:pt idx="2">
                  <c:v>1</c:v>
                </c:pt>
                <c:pt idx="3">
                  <c:v>0.7142857142857143</c:v>
                </c:pt>
                <c:pt idx="4">
                  <c:v>0.5</c:v>
                </c:pt>
                <c:pt idx="5">
                  <c:v>0.2857142857142857</c:v>
                </c:pt>
                <c:pt idx="6">
                  <c:v>0.15384615384615385</c:v>
                </c:pt>
              </c:numCache>
            </c:numRef>
          </c:val>
          <c:extLst xmlns:c16r2="http://schemas.microsoft.com/office/drawing/2015/06/chart">
            <c:ext xmlns:c16="http://schemas.microsoft.com/office/drawing/2014/chart" uri="{C3380CC4-5D6E-409C-BE32-E72D297353CC}">
              <c16:uniqueId val="{00000003-A9BC-4BF4-B6C1-47E233996CED}"/>
            </c:ext>
          </c:extLst>
        </c:ser>
        <c:dLbls>
          <c:showLegendKey val="0"/>
          <c:showVal val="0"/>
          <c:showCatName val="0"/>
          <c:showSerName val="0"/>
          <c:showPercent val="0"/>
          <c:showBubbleSize val="0"/>
        </c:dLbls>
        <c:gapWidth val="55"/>
        <c:overlap val="100"/>
        <c:axId val="93964544"/>
        <c:axId val="93970432"/>
      </c:barChart>
      <c:catAx>
        <c:axId val="93964544"/>
        <c:scaling>
          <c:orientation val="minMax"/>
        </c:scaling>
        <c:delete val="0"/>
        <c:axPos val="b"/>
        <c:numFmt formatCode="General" sourceLinked="0"/>
        <c:majorTickMark val="none"/>
        <c:minorTickMark val="none"/>
        <c:tickLblPos val="nextTo"/>
        <c:crossAx val="93970432"/>
        <c:crosses val="autoZero"/>
        <c:auto val="1"/>
        <c:lblAlgn val="ctr"/>
        <c:lblOffset val="100"/>
        <c:noMultiLvlLbl val="0"/>
      </c:catAx>
      <c:valAx>
        <c:axId val="93970432"/>
        <c:scaling>
          <c:orientation val="minMax"/>
        </c:scaling>
        <c:delete val="0"/>
        <c:axPos val="l"/>
        <c:majorGridlines/>
        <c:numFmt formatCode="0%" sourceLinked="1"/>
        <c:majorTickMark val="none"/>
        <c:minorTickMark val="none"/>
        <c:tickLblPos val="nextTo"/>
        <c:crossAx val="93964544"/>
        <c:crosses val="autoZero"/>
        <c:crossBetween val="between"/>
      </c:valAx>
    </c:plotArea>
    <c:legend>
      <c:legendPos val="r"/>
      <c:overlay val="0"/>
    </c:legend>
    <c:plotVisOnly val="1"/>
    <c:dispBlanksAs val="gap"/>
    <c:showDLblsOverMax val="0"/>
  </c:chart>
  <c:printSettings>
    <c:headerFooter/>
    <c:pageMargins b="0.75000000000000078" l="0.70000000000000062" r="0.70000000000000062" t="0.75000000000000078"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 van collectie digitaal ontsloten</a:t>
            </a:r>
            <a:endParaRPr lang="nl-NL">
              <a:effectLst/>
            </a:endParaRPr>
          </a:p>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(n=134)</a:t>
            </a:r>
            <a:endParaRPr lang="nl-NL">
              <a:effectLst/>
            </a:endParaRPr>
          </a:p>
        </c:rich>
      </c:tx>
      <c:layout/>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1-86F5-47CB-9935-CD6842E8E7A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Collectiedatabase!$H$5:$H$9</c:f>
              <c:strCache>
                <c:ptCount val="5"/>
                <c:pt idx="0">
                  <c:v>Archieven (n=35)</c:v>
                </c:pt>
                <c:pt idx="1">
                  <c:v>Bibliotheken (n=5)</c:v>
                </c:pt>
                <c:pt idx="2">
                  <c:v>Musea (n=81)</c:v>
                </c:pt>
                <c:pt idx="3">
                  <c:v>Overig (n=13)</c:v>
                </c:pt>
                <c:pt idx="4">
                  <c:v>Totaal (n=134)</c:v>
                </c:pt>
              </c:strCache>
            </c:strRef>
          </c:cat>
          <c:val>
            <c:numRef>
              <c:f>Collectiedatabase!$I$5:$I$9</c:f>
              <c:numCache>
                <c:formatCode>0</c:formatCode>
                <c:ptCount val="5"/>
                <c:pt idx="0">
                  <c:v>73.571428571428569</c:v>
                </c:pt>
                <c:pt idx="1">
                  <c:v>87</c:v>
                </c:pt>
                <c:pt idx="2">
                  <c:v>77.098765432098759</c:v>
                </c:pt>
                <c:pt idx="3">
                  <c:v>55.46153846153846</c:v>
                </c:pt>
                <c:pt idx="4" formatCode="General">
                  <c:v>74</c:v>
                </c:pt>
              </c:numCache>
            </c:numRef>
          </c:val>
          <c:extLst xmlns:c16r2="http://schemas.microsoft.com/office/drawing/2015/06/chart">
            <c:ext xmlns:c16="http://schemas.microsoft.com/office/drawing/2014/chart" uri="{C3380CC4-5D6E-409C-BE32-E72D297353CC}">
              <c16:uniqueId val="{00000000-86F5-47CB-9935-CD6842E8E7A5}"/>
            </c:ext>
          </c:extLst>
        </c:ser>
        <c:dLbls>
          <c:showLegendKey val="0"/>
          <c:showVal val="1"/>
          <c:showCatName val="0"/>
          <c:showSerName val="0"/>
          <c:showPercent val="0"/>
          <c:showBubbleSize val="0"/>
        </c:dLbls>
        <c:gapWidth val="150"/>
        <c:overlap val="-25"/>
        <c:axId val="94441856"/>
        <c:axId val="94444928"/>
      </c:barChart>
      <c:catAx>
        <c:axId val="94441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4444928"/>
        <c:crosses val="autoZero"/>
        <c:auto val="1"/>
        <c:lblAlgn val="ctr"/>
        <c:lblOffset val="100"/>
        <c:noMultiLvlLbl val="0"/>
      </c:catAx>
      <c:valAx>
        <c:axId val="94444928"/>
        <c:scaling>
          <c:orientation val="minMax"/>
        </c:scaling>
        <c:delete val="1"/>
        <c:axPos val="l"/>
        <c:numFmt formatCode="0" sourceLinked="1"/>
        <c:majorTickMark val="none"/>
        <c:minorTickMark val="none"/>
        <c:tickLblPos val="none"/>
        <c:crossAx val="94441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000000000000167" l="0.70000000000000062" r="0.70000000000000062" t="0.75000000000000167"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Bezit uw instelling digitale collecties? (n=135)</a:t>
            </a:r>
          </a:p>
        </c:rich>
      </c:tx>
      <c:layout/>
      <c:overlay val="0"/>
    </c:title>
    <c:autoTitleDeleted val="0"/>
    <c:plotArea>
      <c:layout/>
      <c:pieChart>
        <c:varyColors val="1"/>
        <c:ser>
          <c:idx val="0"/>
          <c:order val="0"/>
          <c:dLbls>
            <c:spPr>
              <a:noFill/>
              <a:ln>
                <a:noFill/>
              </a:ln>
              <a:effectLst/>
            </c:sp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15:layout/>
              </c:ext>
            </c:extLst>
          </c:dLbls>
          <c:cat>
            <c:strRef>
              <c:f>'Digitale collectie'!$D$5:$D$6</c:f>
              <c:strCache>
                <c:ptCount val="2"/>
                <c:pt idx="0">
                  <c:v>Ja</c:v>
                </c:pt>
                <c:pt idx="1">
                  <c:v>Nee</c:v>
                </c:pt>
              </c:strCache>
            </c:strRef>
          </c:cat>
          <c:val>
            <c:numRef>
              <c:f>'Digitale collectie'!$E$5:$E$6</c:f>
              <c:numCache>
                <c:formatCode>General</c:formatCode>
                <c:ptCount val="2"/>
                <c:pt idx="0">
                  <c:v>110</c:v>
                </c:pt>
                <c:pt idx="1">
                  <c:v>25</c:v>
                </c:pt>
              </c:numCache>
            </c:numRef>
          </c:val>
          <c:extLst xmlns:c16r2="http://schemas.microsoft.com/office/drawing/2015/06/chart">
            <c:ext xmlns:c16="http://schemas.microsoft.com/office/drawing/2014/chart" uri="{C3380CC4-5D6E-409C-BE32-E72D297353CC}">
              <c16:uniqueId val="{00000000-117A-44D8-BE35-B8402DA63C91}"/>
            </c:ext>
          </c:extLst>
        </c:ser>
        <c:dLbls>
          <c:showLegendKey val="0"/>
          <c:showVal val="0"/>
          <c:showCatName val="0"/>
          <c:showSerName val="0"/>
          <c:showPercent val="1"/>
          <c:showBubbleSize val="0"/>
          <c:showLeaderLines val="1"/>
        </c:dLbls>
        <c:firstSliceAng val="0"/>
      </c:pieChart>
    </c:plotArea>
    <c:legend>
      <c:legendPos val="r"/>
      <c:layout/>
      <c:overlay val="0"/>
    </c:legend>
    <c:plotVisOnly val="1"/>
    <c:dispBlanksAs val="zero"/>
    <c:showDLblsOverMax val="0"/>
  </c:chart>
  <c:printSettings>
    <c:headerFooter/>
    <c:pageMargins b="0.75000000000000155" l="0.70000000000000062" r="0.70000000000000062" t="0.7500000000000015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sz="1800" b="1" i="0" baseline="0"/>
              <a:t>Bezit uw instelling digitale collecties? (per domein, n=135)</a:t>
            </a:r>
            <a:endParaRPr lang="nl-NL"/>
          </a:p>
        </c:rich>
      </c:tx>
      <c:layout/>
      <c:overlay val="0"/>
    </c:title>
    <c:autoTitleDeleted val="0"/>
    <c:plotArea>
      <c:layout/>
      <c:barChart>
        <c:barDir val="col"/>
        <c:grouping val="percentStacked"/>
        <c:varyColors val="0"/>
        <c:ser>
          <c:idx val="0"/>
          <c:order val="0"/>
          <c:tx>
            <c:strRef>
              <c:f>'Digitale collectie'!$N$10</c:f>
              <c:strCache>
                <c:ptCount val="1"/>
                <c:pt idx="0">
                  <c:v>Ja</c:v>
                </c:pt>
              </c:strCache>
            </c:strRef>
          </c:tx>
          <c:invertIfNegative val="0"/>
          <c:cat>
            <c:strRef>
              <c:f>'Digitale collectie'!$M$11:$M$14</c:f>
              <c:strCache>
                <c:ptCount val="4"/>
                <c:pt idx="0">
                  <c:v>Archieven (n=35)</c:v>
                </c:pt>
                <c:pt idx="1">
                  <c:v>Bibliotheken (n=5)</c:v>
                </c:pt>
                <c:pt idx="2">
                  <c:v>Musea (n=81)</c:v>
                </c:pt>
                <c:pt idx="3">
                  <c:v>Overig (n=14)</c:v>
                </c:pt>
              </c:strCache>
            </c:strRef>
          </c:cat>
          <c:val>
            <c:numRef>
              <c:f>'Digitale collectie'!$N$11:$N$14</c:f>
              <c:numCache>
                <c:formatCode>General</c:formatCode>
                <c:ptCount val="4"/>
                <c:pt idx="0">
                  <c:v>34</c:v>
                </c:pt>
                <c:pt idx="1">
                  <c:v>5</c:v>
                </c:pt>
                <c:pt idx="2">
                  <c:v>58</c:v>
                </c:pt>
                <c:pt idx="3">
                  <c:v>13</c:v>
                </c:pt>
              </c:numCache>
            </c:numRef>
          </c:val>
          <c:extLst xmlns:c16r2="http://schemas.microsoft.com/office/drawing/2015/06/chart">
            <c:ext xmlns:c16="http://schemas.microsoft.com/office/drawing/2014/chart" uri="{C3380CC4-5D6E-409C-BE32-E72D297353CC}">
              <c16:uniqueId val="{00000000-4189-41CB-9A23-BC1F02BBF7B6}"/>
            </c:ext>
          </c:extLst>
        </c:ser>
        <c:ser>
          <c:idx val="1"/>
          <c:order val="1"/>
          <c:tx>
            <c:strRef>
              <c:f>'Digitale collectie'!$O$10</c:f>
              <c:strCache>
                <c:ptCount val="1"/>
                <c:pt idx="0">
                  <c:v>Nee</c:v>
                </c:pt>
              </c:strCache>
            </c:strRef>
          </c:tx>
          <c:invertIfNegative val="0"/>
          <c:cat>
            <c:strRef>
              <c:f>'Digitale collectie'!$M$11:$M$14</c:f>
              <c:strCache>
                <c:ptCount val="4"/>
                <c:pt idx="0">
                  <c:v>Archieven (n=35)</c:v>
                </c:pt>
                <c:pt idx="1">
                  <c:v>Bibliotheken (n=5)</c:v>
                </c:pt>
                <c:pt idx="2">
                  <c:v>Musea (n=81)</c:v>
                </c:pt>
                <c:pt idx="3">
                  <c:v>Overig (n=14)</c:v>
                </c:pt>
              </c:strCache>
            </c:strRef>
          </c:cat>
          <c:val>
            <c:numRef>
              <c:f>'Digitale collectie'!$O$11:$O$14</c:f>
              <c:numCache>
                <c:formatCode>General</c:formatCode>
                <c:ptCount val="4"/>
                <c:pt idx="0">
                  <c:v>1</c:v>
                </c:pt>
                <c:pt idx="1">
                  <c:v>0</c:v>
                </c:pt>
                <c:pt idx="2">
                  <c:v>23</c:v>
                </c:pt>
                <c:pt idx="3">
                  <c:v>1</c:v>
                </c:pt>
              </c:numCache>
            </c:numRef>
          </c:val>
          <c:extLst xmlns:c16r2="http://schemas.microsoft.com/office/drawing/2015/06/chart">
            <c:ext xmlns:c16="http://schemas.microsoft.com/office/drawing/2014/chart" uri="{C3380CC4-5D6E-409C-BE32-E72D297353CC}">
              <c16:uniqueId val="{00000001-4189-41CB-9A23-BC1F02BBF7B6}"/>
            </c:ext>
          </c:extLst>
        </c:ser>
        <c:dLbls>
          <c:showLegendKey val="0"/>
          <c:showVal val="0"/>
          <c:showCatName val="0"/>
          <c:showSerName val="0"/>
          <c:showPercent val="0"/>
          <c:showBubbleSize val="0"/>
        </c:dLbls>
        <c:gapWidth val="75"/>
        <c:overlap val="100"/>
        <c:axId val="94269824"/>
        <c:axId val="94271360"/>
      </c:barChart>
      <c:catAx>
        <c:axId val="94269824"/>
        <c:scaling>
          <c:orientation val="minMax"/>
        </c:scaling>
        <c:delete val="0"/>
        <c:axPos val="b"/>
        <c:numFmt formatCode="General" sourceLinked="0"/>
        <c:majorTickMark val="none"/>
        <c:minorTickMark val="none"/>
        <c:tickLblPos val="nextTo"/>
        <c:crossAx val="94271360"/>
        <c:crosses val="autoZero"/>
        <c:auto val="1"/>
        <c:lblAlgn val="ctr"/>
        <c:lblOffset val="100"/>
        <c:noMultiLvlLbl val="0"/>
      </c:catAx>
      <c:valAx>
        <c:axId val="94271360"/>
        <c:scaling>
          <c:orientation val="minMax"/>
        </c:scaling>
        <c:delete val="0"/>
        <c:axPos val="l"/>
        <c:majorGridlines/>
        <c:numFmt formatCode="0%" sourceLinked="1"/>
        <c:majorTickMark val="none"/>
        <c:minorTickMark val="none"/>
        <c:tickLblPos val="nextTo"/>
        <c:spPr>
          <a:ln w="6350">
            <a:noFill/>
          </a:ln>
        </c:spPr>
        <c:crossAx val="94269824"/>
        <c:crosses val="autoZero"/>
        <c:crossBetween val="between"/>
      </c:valAx>
    </c:plotArea>
    <c:legend>
      <c:legendPos val="b"/>
      <c:layout/>
      <c:overlay val="0"/>
    </c:legend>
    <c:plotVisOnly val="1"/>
    <c:dispBlanksAs val="gap"/>
    <c:showDLblsOverMax val="0"/>
  </c:chart>
  <c:printSettings>
    <c:headerFooter/>
    <c:pageMargins b="0.75000000000000155" l="0.70000000000000062" r="0.70000000000000062" t="0.7500000000000015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nl-NL" sz="1800" b="1" i="0" baseline="0"/>
              <a:t>Aanwezigheid digitale collectie vs. </a:t>
            </a:r>
          </a:p>
          <a:p>
            <a:pPr>
              <a:defRPr sz="1800" b="1" i="0" u="none" strike="noStrike" kern="1200" spc="0" baseline="0">
                <a:solidFill>
                  <a:sysClr val="windowText" lastClr="000000"/>
                </a:solidFill>
                <a:latin typeface="+mn-lt"/>
                <a:ea typeface="+mn-ea"/>
                <a:cs typeface="+mn-cs"/>
              </a:defRPr>
            </a:pPr>
            <a:r>
              <a:rPr lang="nl-NL" sz="1800" b="1" i="0" baseline="0"/>
              <a:t>digitale strategie (n=140)</a:t>
            </a:r>
          </a:p>
        </c:rich>
      </c:tx>
      <c:layout/>
      <c:overlay val="0"/>
      <c:spPr>
        <a:noFill/>
        <a:ln>
          <a:noFill/>
        </a:ln>
        <a:effectLst/>
      </c:spPr>
    </c:title>
    <c:autoTitleDeleted val="0"/>
    <c:plotArea>
      <c:layout/>
      <c:barChart>
        <c:barDir val="bar"/>
        <c:grouping val="clustered"/>
        <c:varyColors val="0"/>
        <c:ser>
          <c:idx val="0"/>
          <c:order val="0"/>
          <c:tx>
            <c:strRef>
              <c:f>'Digitale collectie'!$N$20</c:f>
              <c:strCache>
                <c:ptCount val="1"/>
                <c:pt idx="0">
                  <c:v>Strategie</c:v>
                </c:pt>
              </c:strCache>
            </c:strRef>
          </c:tx>
          <c:spPr>
            <a:solidFill>
              <a:schemeClr val="accent1"/>
            </a:solidFill>
            <a:ln>
              <a:noFill/>
            </a:ln>
            <a:effectLst/>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'Digitale collectie'!$M$21:$M$25</c:f>
              <c:strCache>
                <c:ptCount val="5"/>
                <c:pt idx="0">
                  <c:v>Gemiddeld</c:v>
                </c:pt>
                <c:pt idx="1">
                  <c:v>Musea (n=81)</c:v>
                </c:pt>
                <c:pt idx="2">
                  <c:v>Overig (n=14)</c:v>
                </c:pt>
                <c:pt idx="3">
                  <c:v>Archieven (n=35)</c:v>
                </c:pt>
                <c:pt idx="4">
                  <c:v>Bibliotheken (n=5)</c:v>
                </c:pt>
              </c:strCache>
            </c:strRef>
          </c:cat>
          <c:val>
            <c:numRef>
              <c:f>'Digitale collectie'!$N$21:$N$25</c:f>
              <c:numCache>
                <c:formatCode>0%</c:formatCode>
                <c:ptCount val="5"/>
                <c:pt idx="0">
                  <c:v>0.5757575757575758</c:v>
                </c:pt>
                <c:pt idx="1">
                  <c:v>0.5641025641025641</c:v>
                </c:pt>
                <c:pt idx="2">
                  <c:v>0.75</c:v>
                </c:pt>
                <c:pt idx="3">
                  <c:v>0.54054054054054057</c:v>
                </c:pt>
                <c:pt idx="4">
                  <c:v>0.6</c:v>
                </c:pt>
              </c:numCache>
            </c:numRef>
          </c:val>
          <c:extLst xmlns:c16r2="http://schemas.microsoft.com/office/drawing/2015/06/chart">
            <c:ext xmlns:c16="http://schemas.microsoft.com/office/drawing/2014/chart" uri="{C3380CC4-5D6E-409C-BE32-E72D297353CC}">
              <c16:uniqueId val="{00000000-30CF-4469-B7EE-EDC70698F35B}"/>
            </c:ext>
          </c:extLst>
        </c:ser>
        <c:ser>
          <c:idx val="1"/>
          <c:order val="1"/>
          <c:tx>
            <c:strRef>
              <c:f>'Digitale collectie'!$O$20</c:f>
              <c:strCache>
                <c:ptCount val="1"/>
                <c:pt idx="0">
                  <c:v>Collectie</c:v>
                </c:pt>
              </c:strCache>
            </c:strRef>
          </c:tx>
          <c:spPr>
            <a:solidFill>
              <a:schemeClr val="accent2"/>
            </a:solidFill>
            <a:ln>
              <a:noFill/>
            </a:ln>
            <a:effectLst/>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'Digitale collectie'!$M$21:$M$25</c:f>
              <c:strCache>
                <c:ptCount val="5"/>
                <c:pt idx="0">
                  <c:v>Gemiddeld</c:v>
                </c:pt>
                <c:pt idx="1">
                  <c:v>Musea (n=81)</c:v>
                </c:pt>
                <c:pt idx="2">
                  <c:v>Overig (n=14)</c:v>
                </c:pt>
                <c:pt idx="3">
                  <c:v>Archieven (n=35)</c:v>
                </c:pt>
                <c:pt idx="4">
                  <c:v>Bibliotheken (n=5)</c:v>
                </c:pt>
              </c:strCache>
            </c:strRef>
          </c:cat>
          <c:val>
            <c:numRef>
              <c:f>'Digitale collectie'!$O$21:$O$25</c:f>
              <c:numCache>
                <c:formatCode>0%</c:formatCode>
                <c:ptCount val="5"/>
                <c:pt idx="0">
                  <c:v>0.81481481481481477</c:v>
                </c:pt>
                <c:pt idx="1">
                  <c:v>0.71604938271604934</c:v>
                </c:pt>
                <c:pt idx="2">
                  <c:v>0.9285714285714286</c:v>
                </c:pt>
                <c:pt idx="3">
                  <c:v>0.97142857142857142</c:v>
                </c:pt>
                <c:pt idx="4">
                  <c:v>1</c:v>
                </c:pt>
              </c:numCache>
            </c:numRef>
          </c:val>
          <c:extLst xmlns:c16r2="http://schemas.microsoft.com/office/drawing/2015/06/chart">
            <c:ext xmlns:c16="http://schemas.microsoft.com/office/drawing/2014/chart" uri="{C3380CC4-5D6E-409C-BE32-E72D297353CC}">
              <c16:uniqueId val="{00000001-30CF-4469-B7EE-EDC70698F35B}"/>
            </c:ext>
          </c:extLst>
        </c:ser>
        <c:dLbls>
          <c:showLegendKey val="0"/>
          <c:showVal val="1"/>
          <c:showCatName val="0"/>
          <c:showSerName val="0"/>
          <c:showPercent val="0"/>
          <c:showBubbleSize val="0"/>
        </c:dLbls>
        <c:gapWidth val="150"/>
        <c:overlap val="-25"/>
        <c:axId val="94303360"/>
        <c:axId val="94304896"/>
      </c:barChart>
      <c:catAx>
        <c:axId val="94303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94304896"/>
        <c:crosses val="autoZero"/>
        <c:auto val="1"/>
        <c:lblAlgn val="ctr"/>
        <c:lblOffset val="100"/>
        <c:noMultiLvlLbl val="0"/>
      </c:catAx>
      <c:valAx>
        <c:axId val="94304896"/>
        <c:scaling>
          <c:orientation val="minMax"/>
        </c:scaling>
        <c:delete val="1"/>
        <c:axPos val="b"/>
        <c:numFmt formatCode="0%" sourceLinked="1"/>
        <c:majorTickMark val="none"/>
        <c:minorTickMark val="none"/>
        <c:tickLblPos val="none"/>
        <c:crossAx val="9430336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000000000000056" l="0.70000000000000051" r="0.70000000000000051" t="0.75000000000000056" header="0.30000000000000027" footer="0.30000000000000027"/>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nl-NL"/>
              <a:t>Stand van zaken digitalisering in NL (2017) (n=127)</a:t>
            </a:r>
          </a:p>
        </c:rich>
      </c:tx>
      <c:layout/>
      <c:overlay val="0"/>
      <c:spPr>
        <a:noFill/>
        <a:ln>
          <a:noFill/>
        </a:ln>
        <a:effectLst/>
      </c:spPr>
    </c:title>
    <c:autoTitleDeleted val="0"/>
    <c:plotArea>
      <c:layout/>
      <c:barChart>
        <c:barDir val="bar"/>
        <c:grouping val="percentStacked"/>
        <c:varyColors val="0"/>
        <c:ser>
          <c:idx val="0"/>
          <c:order val="0"/>
          <c:tx>
            <c:strRef>
              <c:f>Gedigitaliseerd!$L$6</c:f>
              <c:strCache>
                <c:ptCount val="1"/>
                <c:pt idx="0">
                  <c:v>% collectie gedigitaliseerd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nl-NL"/>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Gedigitaliseerd!$K$7:$K$12</c:f>
              <c:strCache>
                <c:ptCount val="6"/>
                <c:pt idx="0">
                  <c:v>Mediaan</c:v>
                </c:pt>
                <c:pt idx="1">
                  <c:v>Totaal gem. (n=127)</c:v>
                </c:pt>
                <c:pt idx="2">
                  <c:v>Overig (n=13)</c:v>
                </c:pt>
                <c:pt idx="3">
                  <c:v>Musea (n=77)</c:v>
                </c:pt>
                <c:pt idx="4">
                  <c:v>Bibliotheken (n=5)</c:v>
                </c:pt>
                <c:pt idx="5">
                  <c:v>Archieven (n=32)</c:v>
                </c:pt>
              </c:strCache>
            </c:strRef>
          </c:cat>
          <c:val>
            <c:numRef>
              <c:f>Gedigitaliseerd!$L$7:$L$12</c:f>
              <c:numCache>
                <c:formatCode>0</c:formatCode>
                <c:ptCount val="6"/>
                <c:pt idx="0">
                  <c:v>26</c:v>
                </c:pt>
                <c:pt idx="1">
                  <c:v>35</c:v>
                </c:pt>
                <c:pt idx="2">
                  <c:v>34.615384615384613</c:v>
                </c:pt>
                <c:pt idx="3">
                  <c:v>46.350649350649348</c:v>
                </c:pt>
                <c:pt idx="4">
                  <c:v>26</c:v>
                </c:pt>
                <c:pt idx="5">
                  <c:v>11.4375</c:v>
                </c:pt>
              </c:numCache>
            </c:numRef>
          </c:val>
          <c:extLst xmlns:c16r2="http://schemas.microsoft.com/office/drawing/2015/06/chart">
            <c:ext xmlns:c16="http://schemas.microsoft.com/office/drawing/2014/chart" uri="{C3380CC4-5D6E-409C-BE32-E72D297353CC}">
              <c16:uniqueId val="{00000000-4B29-4F69-B4BD-9F62B36C0D7D}"/>
            </c:ext>
          </c:extLst>
        </c:ser>
        <c:ser>
          <c:idx val="1"/>
          <c:order val="1"/>
          <c:tx>
            <c:strRef>
              <c:f>Gedigitaliseerd!$M$6</c:f>
              <c:strCache>
                <c:ptCount val="1"/>
                <c:pt idx="0">
                  <c:v>% collectie nog te digitaliseren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nl-NL"/>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Gedigitaliseerd!$K$7:$K$12</c:f>
              <c:strCache>
                <c:ptCount val="6"/>
                <c:pt idx="0">
                  <c:v>Mediaan</c:v>
                </c:pt>
                <c:pt idx="1">
                  <c:v>Totaal gem. (n=127)</c:v>
                </c:pt>
                <c:pt idx="2">
                  <c:v>Overig (n=13)</c:v>
                </c:pt>
                <c:pt idx="3">
                  <c:v>Musea (n=77)</c:v>
                </c:pt>
                <c:pt idx="4">
                  <c:v>Bibliotheken (n=5)</c:v>
                </c:pt>
                <c:pt idx="5">
                  <c:v>Archieven (n=32)</c:v>
                </c:pt>
              </c:strCache>
            </c:strRef>
          </c:cat>
          <c:val>
            <c:numRef>
              <c:f>Gedigitaliseerd!$M$7:$M$12</c:f>
              <c:numCache>
                <c:formatCode>0</c:formatCode>
                <c:ptCount val="6"/>
                <c:pt idx="0">
                  <c:v>43</c:v>
                </c:pt>
                <c:pt idx="1">
                  <c:v>46</c:v>
                </c:pt>
                <c:pt idx="2">
                  <c:v>52.153846153846153</c:v>
                </c:pt>
                <c:pt idx="3">
                  <c:v>44.961038961038959</c:v>
                </c:pt>
                <c:pt idx="4">
                  <c:v>67</c:v>
                </c:pt>
                <c:pt idx="5">
                  <c:v>42.21875</c:v>
                </c:pt>
              </c:numCache>
            </c:numRef>
          </c:val>
          <c:extLst xmlns:c16r2="http://schemas.microsoft.com/office/drawing/2015/06/chart">
            <c:ext xmlns:c16="http://schemas.microsoft.com/office/drawing/2014/chart" uri="{C3380CC4-5D6E-409C-BE32-E72D297353CC}">
              <c16:uniqueId val="{00000001-4B29-4F69-B4BD-9F62B36C0D7D}"/>
            </c:ext>
          </c:extLst>
        </c:ser>
        <c:ser>
          <c:idx val="2"/>
          <c:order val="2"/>
          <c:tx>
            <c:strRef>
              <c:f>Gedigitaliseerd!$N$6</c:f>
              <c:strCache>
                <c:ptCount val="1"/>
                <c:pt idx="0">
                  <c:v>% collectie niet digitaliseren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nl-NL"/>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Gedigitaliseerd!$K$7:$K$12</c:f>
              <c:strCache>
                <c:ptCount val="6"/>
                <c:pt idx="0">
                  <c:v>Mediaan</c:v>
                </c:pt>
                <c:pt idx="1">
                  <c:v>Totaal gem. (n=127)</c:v>
                </c:pt>
                <c:pt idx="2">
                  <c:v>Overig (n=13)</c:v>
                </c:pt>
                <c:pt idx="3">
                  <c:v>Musea (n=77)</c:v>
                </c:pt>
                <c:pt idx="4">
                  <c:v>Bibliotheken (n=5)</c:v>
                </c:pt>
                <c:pt idx="5">
                  <c:v>Archieven (n=32)</c:v>
                </c:pt>
              </c:strCache>
            </c:strRef>
          </c:cat>
          <c:val>
            <c:numRef>
              <c:f>Gedigitaliseerd!$N$7:$N$12</c:f>
              <c:numCache>
                <c:formatCode>0</c:formatCode>
                <c:ptCount val="6"/>
                <c:pt idx="0">
                  <c:v>31</c:v>
                </c:pt>
                <c:pt idx="1">
                  <c:v>19</c:v>
                </c:pt>
                <c:pt idx="2">
                  <c:v>13</c:v>
                </c:pt>
                <c:pt idx="3">
                  <c:v>9</c:v>
                </c:pt>
                <c:pt idx="4">
                  <c:v>7</c:v>
                </c:pt>
                <c:pt idx="5">
                  <c:v>46</c:v>
                </c:pt>
              </c:numCache>
            </c:numRef>
          </c:val>
          <c:extLst xmlns:c16r2="http://schemas.microsoft.com/office/drawing/2015/06/chart">
            <c:ext xmlns:c16="http://schemas.microsoft.com/office/drawing/2014/chart" uri="{C3380CC4-5D6E-409C-BE32-E72D297353CC}">
              <c16:uniqueId val="{00000002-4B29-4F69-B4BD-9F62B36C0D7D}"/>
            </c:ext>
          </c:extLst>
        </c:ser>
        <c:dLbls>
          <c:dLblPos val="ctr"/>
          <c:showLegendKey val="0"/>
          <c:showVal val="1"/>
          <c:showCatName val="0"/>
          <c:showSerName val="0"/>
          <c:showPercent val="0"/>
          <c:showBubbleSize val="0"/>
        </c:dLbls>
        <c:gapWidth val="79"/>
        <c:overlap val="100"/>
        <c:axId val="94407680"/>
        <c:axId val="94425856"/>
      </c:barChart>
      <c:catAx>
        <c:axId val="94407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nl-NL"/>
          </a:p>
        </c:txPr>
        <c:crossAx val="94425856"/>
        <c:crosses val="autoZero"/>
        <c:auto val="1"/>
        <c:lblAlgn val="ctr"/>
        <c:lblOffset val="100"/>
        <c:noMultiLvlLbl val="0"/>
      </c:catAx>
      <c:valAx>
        <c:axId val="94425856"/>
        <c:scaling>
          <c:orientation val="minMax"/>
        </c:scaling>
        <c:delete val="1"/>
        <c:axPos val="b"/>
        <c:numFmt formatCode="0%" sourceLinked="1"/>
        <c:majorTickMark val="none"/>
        <c:minorTickMark val="none"/>
        <c:tickLblPos val="nextTo"/>
        <c:crossAx val="9440768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000000000000167" l="0.70000000000000062" r="0.70000000000000062" t="0.7500000000000016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Type respondenten 2017 (genormaliseerd)</a:t>
            </a:r>
          </a:p>
          <a:p>
            <a:pPr>
              <a:defRPr sz="1400" b="0" i="0" u="none" strike="noStrike" kern="1200" spc="0" baseline="0">
                <a:solidFill>
                  <a:schemeClr val="tx1">
                    <a:lumMod val="65000"/>
                    <a:lumOff val="35000"/>
                  </a:schemeClr>
                </a:solidFill>
                <a:latin typeface="+mn-lt"/>
                <a:ea typeface="+mn-ea"/>
                <a:cs typeface="+mn-cs"/>
              </a:defRPr>
            </a:pPr>
            <a:r>
              <a:rPr lang="nl-NL"/>
              <a:t>(n=156)</a:t>
            </a:r>
          </a:p>
        </c:rich>
      </c:tx>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A093-4C56-9987-DDE00EDE24B7}"/>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A093-4C56-9987-DDE00EDE24B7}"/>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A093-4C56-9987-DDE00EDE24B7}"/>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A093-4C56-9987-DDE00EDE24B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'Type instelling'!$D$7:$D$10</c:f>
              <c:strCache>
                <c:ptCount val="4"/>
                <c:pt idx="0">
                  <c:v>Musea</c:v>
                </c:pt>
                <c:pt idx="1">
                  <c:v>Archieven</c:v>
                </c:pt>
                <c:pt idx="2">
                  <c:v>Overig</c:v>
                </c:pt>
                <c:pt idx="3">
                  <c:v>Bibliotheken</c:v>
                </c:pt>
              </c:strCache>
            </c:strRef>
          </c:cat>
          <c:val>
            <c:numRef>
              <c:f>'Type instelling'!$E$7:$E$10</c:f>
              <c:numCache>
                <c:formatCode>General</c:formatCode>
                <c:ptCount val="4"/>
                <c:pt idx="0">
                  <c:v>89</c:v>
                </c:pt>
                <c:pt idx="1">
                  <c:v>39</c:v>
                </c:pt>
                <c:pt idx="2">
                  <c:v>17</c:v>
                </c:pt>
                <c:pt idx="3">
                  <c:v>11</c:v>
                </c:pt>
              </c:numCache>
            </c:numRef>
          </c:val>
          <c:extLst xmlns:c16r2="http://schemas.microsoft.com/office/drawing/2015/06/chart">
            <c:ext xmlns:c16="http://schemas.microsoft.com/office/drawing/2014/chart" uri="{C3380CC4-5D6E-409C-BE32-E72D297353CC}">
              <c16:uniqueId val="{00000000-D26A-482A-8444-1190D690C569}"/>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000000000000167" l="0.70000000000000062" r="0.70000000000000062" t="0.75000000000000167"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 collectie gedigitaliseerd (n=127)</a:t>
            </a:r>
          </a:p>
        </c:rich>
      </c:tx>
      <c:overlay val="0"/>
    </c:title>
    <c:autoTitleDeleted val="0"/>
    <c:plotArea>
      <c:layout/>
      <c:pieChart>
        <c:varyColors val="1"/>
        <c:ser>
          <c:idx val="0"/>
          <c:order val="0"/>
          <c:dLbls>
            <c:spPr>
              <a:noFill/>
              <a:ln>
                <a:noFill/>
              </a:ln>
              <a:effectLst/>
            </c:sp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15:layout/>
              </c:ext>
            </c:extLst>
          </c:dLbls>
          <c:cat>
            <c:strRef>
              <c:f>Gedigitaliseerd!$H$41:$H$47</c:f>
              <c:strCache>
                <c:ptCount val="7"/>
                <c:pt idx="0">
                  <c:v>0% gedigitaliseerd</c:v>
                </c:pt>
                <c:pt idx="1">
                  <c:v>1-5% gedigitaliseerd</c:v>
                </c:pt>
                <c:pt idx="2">
                  <c:v>6-25% gedigitaliseerd</c:v>
                </c:pt>
                <c:pt idx="3">
                  <c:v>26-50% gedigitaliseerd</c:v>
                </c:pt>
                <c:pt idx="4">
                  <c:v>51-75% gedigitaliseerd</c:v>
                </c:pt>
                <c:pt idx="5">
                  <c:v>76-99% gedigitaliseerd</c:v>
                </c:pt>
                <c:pt idx="6">
                  <c:v>100% gedigitaliseerd</c:v>
                </c:pt>
              </c:strCache>
            </c:strRef>
          </c:cat>
          <c:val>
            <c:numRef>
              <c:f>Gedigitaliseerd!$I$41:$I$47</c:f>
              <c:numCache>
                <c:formatCode>General</c:formatCode>
                <c:ptCount val="7"/>
                <c:pt idx="0">
                  <c:v>5</c:v>
                </c:pt>
                <c:pt idx="1">
                  <c:v>22</c:v>
                </c:pt>
                <c:pt idx="2">
                  <c:v>37</c:v>
                </c:pt>
                <c:pt idx="3">
                  <c:v>24</c:v>
                </c:pt>
                <c:pt idx="4">
                  <c:v>20</c:v>
                </c:pt>
                <c:pt idx="5">
                  <c:v>17</c:v>
                </c:pt>
                <c:pt idx="6">
                  <c:v>1</c:v>
                </c:pt>
              </c:numCache>
            </c:numRef>
          </c:val>
          <c:extLst xmlns:c16r2="http://schemas.microsoft.com/office/drawing/2015/06/chart">
            <c:ext xmlns:c16="http://schemas.microsoft.com/office/drawing/2014/chart" uri="{C3380CC4-5D6E-409C-BE32-E72D297353CC}">
              <c16:uniqueId val="{00000000-452C-4BA4-BBDE-D4EA7AD254A9}"/>
            </c:ext>
          </c:extLst>
        </c:ser>
        <c:dLbls>
          <c:showLegendKey val="0"/>
          <c:showVal val="0"/>
          <c:showCatName val="0"/>
          <c:showSerName val="0"/>
          <c:showPercent val="1"/>
          <c:showBubbleSize val="0"/>
          <c:showLeaderLines val="1"/>
        </c:dLbls>
        <c:firstSliceAng val="0"/>
      </c:pieChart>
    </c:plotArea>
    <c:legend>
      <c:legendPos val="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 collectie gedigitaliseerd (per domein) (n=127)</a:t>
            </a:r>
          </a:p>
        </c:rich>
      </c:tx>
      <c:overlay val="0"/>
    </c:title>
    <c:autoTitleDeleted val="0"/>
    <c:plotArea>
      <c:layout/>
      <c:barChart>
        <c:barDir val="col"/>
        <c:grouping val="percentStacked"/>
        <c:varyColors val="0"/>
        <c:ser>
          <c:idx val="0"/>
          <c:order val="0"/>
          <c:tx>
            <c:strRef>
              <c:f>Gedigitaliseerd!$S$42</c:f>
              <c:strCache>
                <c:ptCount val="1"/>
                <c:pt idx="0">
                  <c:v>Archieven (n=32)</c:v>
                </c:pt>
              </c:strCache>
            </c:strRef>
          </c:tx>
          <c:invertIfNegative val="0"/>
          <c:cat>
            <c:strRef>
              <c:f>Gedigitaliseerd!$R$43:$R$49</c:f>
              <c:strCache>
                <c:ptCount val="7"/>
                <c:pt idx="0">
                  <c:v>0% gedigitaliseerd</c:v>
                </c:pt>
                <c:pt idx="1">
                  <c:v>1-5% gedigitaliseerd</c:v>
                </c:pt>
                <c:pt idx="2">
                  <c:v>6-25% gedigitaliseerd</c:v>
                </c:pt>
                <c:pt idx="3">
                  <c:v>26-50% gedigitaliseerd</c:v>
                </c:pt>
                <c:pt idx="4">
                  <c:v>51-75% gedigitaliseerd</c:v>
                </c:pt>
                <c:pt idx="5">
                  <c:v>76-99% gedigitaliseerd</c:v>
                </c:pt>
                <c:pt idx="6">
                  <c:v>100% gedigitaliseerd</c:v>
                </c:pt>
              </c:strCache>
            </c:strRef>
          </c:cat>
          <c:val>
            <c:numRef>
              <c:f>Gedigitaliseerd!$S$43:$S$49</c:f>
              <c:numCache>
                <c:formatCode>General</c:formatCode>
                <c:ptCount val="7"/>
                <c:pt idx="0">
                  <c:v>0</c:v>
                </c:pt>
                <c:pt idx="1">
                  <c:v>11</c:v>
                </c:pt>
                <c:pt idx="2">
                  <c:v>19</c:v>
                </c:pt>
                <c:pt idx="3">
                  <c:v>2</c:v>
                </c:pt>
                <c:pt idx="4">
                  <c:v>0</c:v>
                </c:pt>
                <c:pt idx="5">
                  <c:v>0</c:v>
                </c:pt>
                <c:pt idx="6">
                  <c:v>0</c:v>
                </c:pt>
              </c:numCache>
            </c:numRef>
          </c:val>
          <c:extLst xmlns:c16r2="http://schemas.microsoft.com/office/drawing/2015/06/chart">
            <c:ext xmlns:c16="http://schemas.microsoft.com/office/drawing/2014/chart" uri="{C3380CC4-5D6E-409C-BE32-E72D297353CC}">
              <c16:uniqueId val="{00000000-527F-457C-AB43-11F21F8F7E27}"/>
            </c:ext>
          </c:extLst>
        </c:ser>
        <c:ser>
          <c:idx val="1"/>
          <c:order val="1"/>
          <c:tx>
            <c:strRef>
              <c:f>Gedigitaliseerd!$T$42</c:f>
              <c:strCache>
                <c:ptCount val="1"/>
                <c:pt idx="0">
                  <c:v>Bibliotheken (n=5)</c:v>
                </c:pt>
              </c:strCache>
            </c:strRef>
          </c:tx>
          <c:invertIfNegative val="0"/>
          <c:cat>
            <c:strRef>
              <c:f>Gedigitaliseerd!$R$43:$R$49</c:f>
              <c:strCache>
                <c:ptCount val="7"/>
                <c:pt idx="0">
                  <c:v>0% gedigitaliseerd</c:v>
                </c:pt>
                <c:pt idx="1">
                  <c:v>1-5% gedigitaliseerd</c:v>
                </c:pt>
                <c:pt idx="2">
                  <c:v>6-25% gedigitaliseerd</c:v>
                </c:pt>
                <c:pt idx="3">
                  <c:v>26-50% gedigitaliseerd</c:v>
                </c:pt>
                <c:pt idx="4">
                  <c:v>51-75% gedigitaliseerd</c:v>
                </c:pt>
                <c:pt idx="5">
                  <c:v>76-99% gedigitaliseerd</c:v>
                </c:pt>
                <c:pt idx="6">
                  <c:v>100% gedigitaliseerd</c:v>
                </c:pt>
              </c:strCache>
            </c:strRef>
          </c:cat>
          <c:val>
            <c:numRef>
              <c:f>Gedigitaliseerd!$T$43:$T$49</c:f>
              <c:numCache>
                <c:formatCode>General</c:formatCode>
                <c:ptCount val="7"/>
                <c:pt idx="0">
                  <c:v>0</c:v>
                </c:pt>
                <c:pt idx="1">
                  <c:v>0</c:v>
                </c:pt>
                <c:pt idx="2">
                  <c:v>4</c:v>
                </c:pt>
                <c:pt idx="3">
                  <c:v>1</c:v>
                </c:pt>
                <c:pt idx="4">
                  <c:v>0</c:v>
                </c:pt>
                <c:pt idx="5">
                  <c:v>0</c:v>
                </c:pt>
                <c:pt idx="6">
                  <c:v>0</c:v>
                </c:pt>
              </c:numCache>
            </c:numRef>
          </c:val>
          <c:extLst xmlns:c16r2="http://schemas.microsoft.com/office/drawing/2015/06/chart">
            <c:ext xmlns:c16="http://schemas.microsoft.com/office/drawing/2014/chart" uri="{C3380CC4-5D6E-409C-BE32-E72D297353CC}">
              <c16:uniqueId val="{00000001-527F-457C-AB43-11F21F8F7E27}"/>
            </c:ext>
          </c:extLst>
        </c:ser>
        <c:ser>
          <c:idx val="2"/>
          <c:order val="2"/>
          <c:tx>
            <c:strRef>
              <c:f>Gedigitaliseerd!$U$42</c:f>
              <c:strCache>
                <c:ptCount val="1"/>
                <c:pt idx="0">
                  <c:v>Musea (n=77)</c:v>
                </c:pt>
              </c:strCache>
            </c:strRef>
          </c:tx>
          <c:invertIfNegative val="0"/>
          <c:cat>
            <c:strRef>
              <c:f>Gedigitaliseerd!$R$43:$R$49</c:f>
              <c:strCache>
                <c:ptCount val="7"/>
                <c:pt idx="0">
                  <c:v>0% gedigitaliseerd</c:v>
                </c:pt>
                <c:pt idx="1">
                  <c:v>1-5% gedigitaliseerd</c:v>
                </c:pt>
                <c:pt idx="2">
                  <c:v>6-25% gedigitaliseerd</c:v>
                </c:pt>
                <c:pt idx="3">
                  <c:v>26-50% gedigitaliseerd</c:v>
                </c:pt>
                <c:pt idx="4">
                  <c:v>51-75% gedigitaliseerd</c:v>
                </c:pt>
                <c:pt idx="5">
                  <c:v>76-99% gedigitaliseerd</c:v>
                </c:pt>
                <c:pt idx="6">
                  <c:v>100% gedigitaliseerd</c:v>
                </c:pt>
              </c:strCache>
            </c:strRef>
          </c:cat>
          <c:val>
            <c:numRef>
              <c:f>Gedigitaliseerd!$U$43:$U$49</c:f>
              <c:numCache>
                <c:formatCode>General</c:formatCode>
                <c:ptCount val="7"/>
                <c:pt idx="0">
                  <c:v>5</c:v>
                </c:pt>
                <c:pt idx="1">
                  <c:v>9</c:v>
                </c:pt>
                <c:pt idx="2">
                  <c:v>11</c:v>
                </c:pt>
                <c:pt idx="3">
                  <c:v>16</c:v>
                </c:pt>
                <c:pt idx="4">
                  <c:v>18</c:v>
                </c:pt>
                <c:pt idx="5">
                  <c:v>16</c:v>
                </c:pt>
                <c:pt idx="6">
                  <c:v>1</c:v>
                </c:pt>
              </c:numCache>
            </c:numRef>
          </c:val>
          <c:extLst xmlns:c16r2="http://schemas.microsoft.com/office/drawing/2015/06/chart">
            <c:ext xmlns:c16="http://schemas.microsoft.com/office/drawing/2014/chart" uri="{C3380CC4-5D6E-409C-BE32-E72D297353CC}">
              <c16:uniqueId val="{00000002-527F-457C-AB43-11F21F8F7E27}"/>
            </c:ext>
          </c:extLst>
        </c:ser>
        <c:ser>
          <c:idx val="3"/>
          <c:order val="3"/>
          <c:tx>
            <c:strRef>
              <c:f>Gedigitaliseerd!$V$42</c:f>
              <c:strCache>
                <c:ptCount val="1"/>
                <c:pt idx="0">
                  <c:v>Overig (n=13)</c:v>
                </c:pt>
              </c:strCache>
            </c:strRef>
          </c:tx>
          <c:invertIfNegative val="0"/>
          <c:cat>
            <c:strRef>
              <c:f>Gedigitaliseerd!$R$43:$R$49</c:f>
              <c:strCache>
                <c:ptCount val="7"/>
                <c:pt idx="0">
                  <c:v>0% gedigitaliseerd</c:v>
                </c:pt>
                <c:pt idx="1">
                  <c:v>1-5% gedigitaliseerd</c:v>
                </c:pt>
                <c:pt idx="2">
                  <c:v>6-25% gedigitaliseerd</c:v>
                </c:pt>
                <c:pt idx="3">
                  <c:v>26-50% gedigitaliseerd</c:v>
                </c:pt>
                <c:pt idx="4">
                  <c:v>51-75% gedigitaliseerd</c:v>
                </c:pt>
                <c:pt idx="5">
                  <c:v>76-99% gedigitaliseerd</c:v>
                </c:pt>
                <c:pt idx="6">
                  <c:v>100% gedigitaliseerd</c:v>
                </c:pt>
              </c:strCache>
            </c:strRef>
          </c:cat>
          <c:val>
            <c:numRef>
              <c:f>Gedigitaliseerd!$V$43:$V$49</c:f>
              <c:numCache>
                <c:formatCode>General</c:formatCode>
                <c:ptCount val="7"/>
                <c:pt idx="0">
                  <c:v>0</c:v>
                </c:pt>
                <c:pt idx="1">
                  <c:v>2</c:v>
                </c:pt>
                <c:pt idx="2">
                  <c:v>3</c:v>
                </c:pt>
                <c:pt idx="3">
                  <c:v>5</c:v>
                </c:pt>
                <c:pt idx="4">
                  <c:v>2</c:v>
                </c:pt>
                <c:pt idx="5">
                  <c:v>1</c:v>
                </c:pt>
                <c:pt idx="6">
                  <c:v>0</c:v>
                </c:pt>
              </c:numCache>
            </c:numRef>
          </c:val>
          <c:extLst xmlns:c16r2="http://schemas.microsoft.com/office/drawing/2015/06/chart">
            <c:ext xmlns:c16="http://schemas.microsoft.com/office/drawing/2014/chart" uri="{C3380CC4-5D6E-409C-BE32-E72D297353CC}">
              <c16:uniqueId val="{00000003-527F-457C-AB43-11F21F8F7E27}"/>
            </c:ext>
          </c:extLst>
        </c:ser>
        <c:dLbls>
          <c:showLegendKey val="0"/>
          <c:showVal val="0"/>
          <c:showCatName val="0"/>
          <c:showSerName val="0"/>
          <c:showPercent val="0"/>
          <c:showBubbleSize val="0"/>
        </c:dLbls>
        <c:gapWidth val="75"/>
        <c:overlap val="100"/>
        <c:axId val="95866880"/>
        <c:axId val="95868416"/>
      </c:barChart>
      <c:catAx>
        <c:axId val="95866880"/>
        <c:scaling>
          <c:orientation val="minMax"/>
        </c:scaling>
        <c:delete val="0"/>
        <c:axPos val="b"/>
        <c:numFmt formatCode="General" sourceLinked="0"/>
        <c:majorTickMark val="none"/>
        <c:minorTickMark val="none"/>
        <c:tickLblPos val="nextTo"/>
        <c:crossAx val="95868416"/>
        <c:crosses val="autoZero"/>
        <c:auto val="1"/>
        <c:lblAlgn val="ctr"/>
        <c:lblOffset val="100"/>
        <c:noMultiLvlLbl val="0"/>
      </c:catAx>
      <c:valAx>
        <c:axId val="95868416"/>
        <c:scaling>
          <c:orientation val="minMax"/>
        </c:scaling>
        <c:delete val="0"/>
        <c:axPos val="l"/>
        <c:majorGridlines/>
        <c:numFmt formatCode="0%" sourceLinked="1"/>
        <c:majorTickMark val="none"/>
        <c:minorTickMark val="none"/>
        <c:tickLblPos val="nextTo"/>
        <c:spPr>
          <a:ln w="6350">
            <a:noFill/>
          </a:ln>
        </c:spPr>
        <c:crossAx val="95866880"/>
        <c:crosses val="autoZero"/>
        <c:crossBetween val="between"/>
      </c:valAx>
    </c:plotArea>
    <c:legend>
      <c:legendPos val="b"/>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nl-NL"/>
              <a:t>gem. % online beschikbaar </a:t>
            </a:r>
          </a:p>
          <a:p>
            <a:pPr>
              <a:defRPr sz="1800" b="1" i="0" u="none" strike="noStrike" kern="1200" baseline="0">
                <a:solidFill>
                  <a:schemeClr val="dk1">
                    <a:lumMod val="75000"/>
                    <a:lumOff val="25000"/>
                  </a:schemeClr>
                </a:solidFill>
                <a:latin typeface="+mn-lt"/>
                <a:ea typeface="+mn-ea"/>
                <a:cs typeface="+mn-cs"/>
              </a:defRPr>
            </a:pPr>
            <a:r>
              <a:rPr lang="nl-NL"/>
              <a:t>(n=91)</a:t>
            </a:r>
          </a:p>
        </c:rich>
      </c:tx>
      <c:layout/>
      <c:overlay val="0"/>
      <c:spPr>
        <a:noFill/>
        <a:ln>
          <a:noFill/>
        </a:ln>
        <a:effectLst/>
      </c:spPr>
    </c:title>
    <c:autoTitleDeleted val="0"/>
    <c:plotArea>
      <c:layout/>
      <c:barChart>
        <c:barDir val="col"/>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nl-NL"/>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Online!$E$6:$E$7</c:f>
              <c:strCache>
                <c:ptCount val="2"/>
                <c:pt idx="0">
                  <c:v>% metadata online</c:v>
                </c:pt>
                <c:pt idx="1">
                  <c:v>% collectie online</c:v>
                </c:pt>
              </c:strCache>
            </c:strRef>
          </c:cat>
          <c:val>
            <c:numRef>
              <c:f>Online!$F$6:$F$7</c:f>
              <c:numCache>
                <c:formatCode>0.0</c:formatCode>
                <c:ptCount val="2"/>
                <c:pt idx="0">
                  <c:v>58.18681318681319</c:v>
                </c:pt>
                <c:pt idx="1">
                  <c:v>37.219780219780219</c:v>
                </c:pt>
              </c:numCache>
            </c:numRef>
          </c:val>
          <c:extLst xmlns:c16r2="http://schemas.microsoft.com/office/drawing/2015/06/chart">
            <c:ext xmlns:c16="http://schemas.microsoft.com/office/drawing/2014/chart" uri="{C3380CC4-5D6E-409C-BE32-E72D297353CC}">
              <c16:uniqueId val="{00000000-7475-455B-8600-2F69B263F6D1}"/>
            </c:ext>
          </c:extLst>
        </c:ser>
        <c:dLbls>
          <c:showLegendKey val="0"/>
          <c:showVal val="1"/>
          <c:showCatName val="0"/>
          <c:showSerName val="0"/>
          <c:showPercent val="0"/>
          <c:showBubbleSize val="0"/>
        </c:dLbls>
        <c:gapWidth val="65"/>
        <c:axId val="95979392"/>
        <c:axId val="95986432"/>
      </c:barChart>
      <c:catAx>
        <c:axId val="9597939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nl-NL"/>
          </a:p>
        </c:txPr>
        <c:crossAx val="95986432"/>
        <c:crosses val="autoZero"/>
        <c:auto val="1"/>
        <c:lblAlgn val="ctr"/>
        <c:lblOffset val="100"/>
        <c:noMultiLvlLbl val="0"/>
      </c:catAx>
      <c:valAx>
        <c:axId val="9598643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sourceLinked="1"/>
        <c:majorTickMark val="none"/>
        <c:minorTickMark val="none"/>
        <c:tickLblPos val="none"/>
        <c:crossAx val="95979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nl-NL"/>
    </a:p>
  </c:txPr>
  <c:printSettings>
    <c:headerFooter/>
    <c:pageMargins b="0.75000000000000155" l="0.70000000000000062" r="0.70000000000000062" t="0.7500000000000015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sz="1800" b="1" i="0" baseline="0"/>
              <a:t>gem. % online beschikbaar </a:t>
            </a:r>
            <a:endParaRPr lang="nl-NL"/>
          </a:p>
          <a:p>
            <a:pPr>
              <a:defRPr/>
            </a:pPr>
            <a:r>
              <a:rPr lang="nl-NL" sz="1800" b="1" i="0" baseline="0"/>
              <a:t>(per domein, n=91)</a:t>
            </a:r>
            <a:endParaRPr lang="nl-NL"/>
          </a:p>
        </c:rich>
      </c:tx>
      <c:layout/>
      <c:overlay val="0"/>
    </c:title>
    <c:autoTitleDeleted val="0"/>
    <c:plotArea>
      <c:layout/>
      <c:barChart>
        <c:barDir val="col"/>
        <c:grouping val="clustered"/>
        <c:varyColors val="0"/>
        <c:ser>
          <c:idx val="0"/>
          <c:order val="0"/>
          <c:tx>
            <c:strRef>
              <c:f>Online!$M$6</c:f>
              <c:strCache>
                <c:ptCount val="1"/>
                <c:pt idx="0">
                  <c:v>metadata</c:v>
                </c:pt>
              </c:strCache>
            </c:strRef>
          </c:tx>
          <c:invertIfNegative val="0"/>
          <c:dPt>
            <c:idx val="4"/>
            <c:invertIfNegative val="0"/>
            <c:bubble3D val="0"/>
            <c:spPr>
              <a:solidFill>
                <a:schemeClr val="accent1"/>
              </a:solidFill>
              <a:ln w="38100">
                <a:solidFill>
                  <a:srgbClr val="FF0000"/>
                </a:solidFill>
              </a:ln>
            </c:spPr>
            <c:extLst xmlns:c16r2="http://schemas.microsoft.com/office/drawing/2015/06/chart">
              <c:ext xmlns:c16="http://schemas.microsoft.com/office/drawing/2014/chart" uri="{C3380CC4-5D6E-409C-BE32-E72D297353CC}">
                <c16:uniqueId val="{00000000-2398-455E-8DA8-88DC6497D788}"/>
              </c:ext>
            </c:extLst>
          </c:dPt>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Online!$L$7:$L$11</c:f>
              <c:strCache>
                <c:ptCount val="5"/>
                <c:pt idx="0">
                  <c:v>Archieven (n=28)</c:v>
                </c:pt>
                <c:pt idx="1">
                  <c:v>Bibliotheken (n=5)</c:v>
                </c:pt>
                <c:pt idx="2">
                  <c:v>Musea (n=49)</c:v>
                </c:pt>
                <c:pt idx="3">
                  <c:v>Overig (n=9)</c:v>
                </c:pt>
                <c:pt idx="4">
                  <c:v>Totaal (n=91)</c:v>
                </c:pt>
              </c:strCache>
            </c:strRef>
          </c:cat>
          <c:val>
            <c:numRef>
              <c:f>Online!$M$7:$M$11</c:f>
              <c:numCache>
                <c:formatCode>0.0</c:formatCode>
                <c:ptCount val="5"/>
                <c:pt idx="0">
                  <c:v>70.607142857142861</c:v>
                </c:pt>
                <c:pt idx="1">
                  <c:v>90</c:v>
                </c:pt>
                <c:pt idx="2">
                  <c:v>47.448979591836732</c:v>
                </c:pt>
                <c:pt idx="3">
                  <c:v>60.333333333333336</c:v>
                </c:pt>
                <c:pt idx="4" formatCode="General">
                  <c:v>58.2</c:v>
                </c:pt>
              </c:numCache>
            </c:numRef>
          </c:val>
          <c:extLst xmlns:c16r2="http://schemas.microsoft.com/office/drawing/2015/06/chart">
            <c:ext xmlns:c16="http://schemas.microsoft.com/office/drawing/2014/chart" uri="{C3380CC4-5D6E-409C-BE32-E72D297353CC}">
              <c16:uniqueId val="{00000001-2398-455E-8DA8-88DC6497D788}"/>
            </c:ext>
          </c:extLst>
        </c:ser>
        <c:ser>
          <c:idx val="1"/>
          <c:order val="1"/>
          <c:tx>
            <c:strRef>
              <c:f>Online!$N$6</c:f>
              <c:strCache>
                <c:ptCount val="1"/>
                <c:pt idx="0">
                  <c:v>collectie</c:v>
                </c:pt>
              </c:strCache>
            </c:strRef>
          </c:tx>
          <c:invertIfNegative val="0"/>
          <c:dPt>
            <c:idx val="4"/>
            <c:invertIfNegative val="0"/>
            <c:bubble3D val="0"/>
            <c:spPr>
              <a:ln w="38100">
                <a:solidFill>
                  <a:srgbClr val="FF0000"/>
                </a:solidFill>
              </a:ln>
            </c:spPr>
            <c:extLst xmlns:c16r2="http://schemas.microsoft.com/office/drawing/2015/06/chart">
              <c:ext xmlns:c16="http://schemas.microsoft.com/office/drawing/2014/chart" uri="{C3380CC4-5D6E-409C-BE32-E72D297353CC}">
                <c16:uniqueId val="{00000002-2398-455E-8DA8-88DC6497D788}"/>
              </c:ext>
            </c:extLst>
          </c:dPt>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Online!$L$7:$L$11</c:f>
              <c:strCache>
                <c:ptCount val="5"/>
                <c:pt idx="0">
                  <c:v>Archieven (n=28)</c:v>
                </c:pt>
                <c:pt idx="1">
                  <c:v>Bibliotheken (n=5)</c:v>
                </c:pt>
                <c:pt idx="2">
                  <c:v>Musea (n=49)</c:v>
                </c:pt>
                <c:pt idx="3">
                  <c:v>Overig (n=9)</c:v>
                </c:pt>
                <c:pt idx="4">
                  <c:v>Totaal (n=91)</c:v>
                </c:pt>
              </c:strCache>
            </c:strRef>
          </c:cat>
          <c:val>
            <c:numRef>
              <c:f>Online!$N$7:$N$11</c:f>
              <c:numCache>
                <c:formatCode>0.0</c:formatCode>
                <c:ptCount val="5"/>
                <c:pt idx="0">
                  <c:v>42.714285714285715</c:v>
                </c:pt>
                <c:pt idx="1">
                  <c:v>57</c:v>
                </c:pt>
                <c:pt idx="2">
                  <c:v>35.510204081632651</c:v>
                </c:pt>
                <c:pt idx="3">
                  <c:v>18.444444444444443</c:v>
                </c:pt>
                <c:pt idx="4" formatCode="General">
                  <c:v>37.200000000000003</c:v>
                </c:pt>
              </c:numCache>
            </c:numRef>
          </c:val>
          <c:extLst xmlns:c16r2="http://schemas.microsoft.com/office/drawing/2015/06/chart">
            <c:ext xmlns:c16="http://schemas.microsoft.com/office/drawing/2014/chart" uri="{C3380CC4-5D6E-409C-BE32-E72D297353CC}">
              <c16:uniqueId val="{00000003-2398-455E-8DA8-88DC6497D788}"/>
            </c:ext>
          </c:extLst>
        </c:ser>
        <c:dLbls>
          <c:showLegendKey val="0"/>
          <c:showVal val="1"/>
          <c:showCatName val="0"/>
          <c:showSerName val="0"/>
          <c:showPercent val="0"/>
          <c:showBubbleSize val="0"/>
        </c:dLbls>
        <c:gapWidth val="150"/>
        <c:overlap val="-25"/>
        <c:axId val="96019584"/>
        <c:axId val="96021120"/>
      </c:barChart>
      <c:catAx>
        <c:axId val="96019584"/>
        <c:scaling>
          <c:orientation val="minMax"/>
        </c:scaling>
        <c:delete val="0"/>
        <c:axPos val="b"/>
        <c:numFmt formatCode="General" sourceLinked="0"/>
        <c:majorTickMark val="none"/>
        <c:minorTickMark val="none"/>
        <c:tickLblPos val="nextTo"/>
        <c:crossAx val="96021120"/>
        <c:crosses val="autoZero"/>
        <c:auto val="1"/>
        <c:lblAlgn val="ctr"/>
        <c:lblOffset val="100"/>
        <c:noMultiLvlLbl val="0"/>
      </c:catAx>
      <c:valAx>
        <c:axId val="96021120"/>
        <c:scaling>
          <c:orientation val="minMax"/>
        </c:scaling>
        <c:delete val="1"/>
        <c:axPos val="l"/>
        <c:numFmt formatCode="0.0" sourceLinked="1"/>
        <c:majorTickMark val="out"/>
        <c:minorTickMark val="none"/>
        <c:tickLblPos val="none"/>
        <c:crossAx val="96019584"/>
        <c:crosses val="autoZero"/>
        <c:crossBetween val="between"/>
      </c:valAx>
    </c:plotArea>
    <c:legend>
      <c:legendPos val="t"/>
      <c:layout/>
      <c:overlay val="0"/>
    </c:legend>
    <c:plotVisOnly val="1"/>
    <c:dispBlanksAs val="gap"/>
    <c:showDLblsOverMax val="0"/>
  </c:chart>
  <c:printSettings>
    <c:headerFooter/>
    <c:pageMargins b="0.75000000000000155" l="0.70000000000000062" r="0.70000000000000062" t="0.7500000000000015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Auteursrechtelijke</a:t>
            </a:r>
            <a:r>
              <a:rPr lang="nl-NL" baseline="0"/>
              <a:t> status van metadata en digitale collectie (n=79)</a:t>
            </a:r>
            <a:endParaRPr lang="nl-NL"/>
          </a:p>
        </c:rich>
      </c:tx>
      <c:layout/>
      <c:overlay val="0"/>
    </c:title>
    <c:autoTitleDeleted val="0"/>
    <c:plotArea>
      <c:layout/>
      <c:barChart>
        <c:barDir val="col"/>
        <c:grouping val="percentStacked"/>
        <c:varyColors val="0"/>
        <c:ser>
          <c:idx val="0"/>
          <c:order val="0"/>
          <c:tx>
            <c:strRef>
              <c:f>Auteursrechten!$N$5</c:f>
              <c:strCache>
                <c:ptCount val="1"/>
                <c:pt idx="0">
                  <c:v>Publiek domein</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Auteursrechten!$O$4:$P$4</c:f>
              <c:strCache>
                <c:ptCount val="2"/>
                <c:pt idx="0">
                  <c:v>Metadata</c:v>
                </c:pt>
                <c:pt idx="1">
                  <c:v>Digitale reproducties ("full content")</c:v>
                </c:pt>
              </c:strCache>
            </c:strRef>
          </c:cat>
          <c:val>
            <c:numRef>
              <c:f>Auteursrechten!$O$5:$P$5</c:f>
              <c:numCache>
                <c:formatCode>0.0</c:formatCode>
                <c:ptCount val="2"/>
                <c:pt idx="0">
                  <c:v>48.802816901408448</c:v>
                </c:pt>
                <c:pt idx="1">
                  <c:v>35.88607594936709</c:v>
                </c:pt>
              </c:numCache>
            </c:numRef>
          </c:val>
          <c:extLst xmlns:c16r2="http://schemas.microsoft.com/office/drawing/2015/06/chart">
            <c:ext xmlns:c16="http://schemas.microsoft.com/office/drawing/2014/chart" uri="{C3380CC4-5D6E-409C-BE32-E72D297353CC}">
              <c16:uniqueId val="{00000000-3127-47D9-B518-7100919F82D9}"/>
            </c:ext>
          </c:extLst>
        </c:ser>
        <c:ser>
          <c:idx val="1"/>
          <c:order val="1"/>
          <c:tx>
            <c:strRef>
              <c:f>Auteursrechten!$N$6</c:f>
              <c:strCache>
                <c:ptCount val="1"/>
                <c:pt idx="0">
                  <c:v>Bij de instelling</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Auteursrechten!$O$4:$P$4</c:f>
              <c:strCache>
                <c:ptCount val="2"/>
                <c:pt idx="0">
                  <c:v>Metadata</c:v>
                </c:pt>
                <c:pt idx="1">
                  <c:v>Digitale reproducties ("full content")</c:v>
                </c:pt>
              </c:strCache>
            </c:strRef>
          </c:cat>
          <c:val>
            <c:numRef>
              <c:f>Auteursrechten!$O$6:$P$6</c:f>
              <c:numCache>
                <c:formatCode>0.0</c:formatCode>
                <c:ptCount val="2"/>
                <c:pt idx="0">
                  <c:v>28.014084507042252</c:v>
                </c:pt>
                <c:pt idx="1">
                  <c:v>23.569620253164558</c:v>
                </c:pt>
              </c:numCache>
            </c:numRef>
          </c:val>
          <c:extLst xmlns:c16r2="http://schemas.microsoft.com/office/drawing/2015/06/chart">
            <c:ext xmlns:c16="http://schemas.microsoft.com/office/drawing/2014/chart" uri="{C3380CC4-5D6E-409C-BE32-E72D297353CC}">
              <c16:uniqueId val="{00000001-3127-47D9-B518-7100919F82D9}"/>
            </c:ext>
          </c:extLst>
        </c:ser>
        <c:ser>
          <c:idx val="2"/>
          <c:order val="2"/>
          <c:tx>
            <c:strRef>
              <c:f>Auteursrechten!$N$7</c:f>
              <c:strCache>
                <c:ptCount val="1"/>
                <c:pt idx="0">
                  <c:v>Bij derden</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Auteursrechten!$O$4:$P$4</c:f>
              <c:strCache>
                <c:ptCount val="2"/>
                <c:pt idx="0">
                  <c:v>Metadata</c:v>
                </c:pt>
                <c:pt idx="1">
                  <c:v>Digitale reproducties ("full content")</c:v>
                </c:pt>
              </c:strCache>
            </c:strRef>
          </c:cat>
          <c:val>
            <c:numRef>
              <c:f>Auteursrechten!$O$7:$P$7</c:f>
              <c:numCache>
                <c:formatCode>0.0</c:formatCode>
                <c:ptCount val="2"/>
                <c:pt idx="0">
                  <c:v>7.492957746478873</c:v>
                </c:pt>
                <c:pt idx="1">
                  <c:v>19.379746835443036</c:v>
                </c:pt>
              </c:numCache>
            </c:numRef>
          </c:val>
          <c:extLst xmlns:c16r2="http://schemas.microsoft.com/office/drawing/2015/06/chart">
            <c:ext xmlns:c16="http://schemas.microsoft.com/office/drawing/2014/chart" uri="{C3380CC4-5D6E-409C-BE32-E72D297353CC}">
              <c16:uniqueId val="{00000002-3127-47D9-B518-7100919F82D9}"/>
            </c:ext>
          </c:extLst>
        </c:ser>
        <c:ser>
          <c:idx val="3"/>
          <c:order val="3"/>
          <c:tx>
            <c:strRef>
              <c:f>Auteursrechten!$N$8</c:f>
              <c:strCache>
                <c:ptCount val="1"/>
                <c:pt idx="0">
                  <c:v>Onbekend</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Auteursrechten!$O$4:$P$4</c:f>
              <c:strCache>
                <c:ptCount val="2"/>
                <c:pt idx="0">
                  <c:v>Metadata</c:v>
                </c:pt>
                <c:pt idx="1">
                  <c:v>Digitale reproducties ("full content")</c:v>
                </c:pt>
              </c:strCache>
            </c:strRef>
          </c:cat>
          <c:val>
            <c:numRef>
              <c:f>Auteursrechten!$O$8:$P$8</c:f>
              <c:numCache>
                <c:formatCode>0.0</c:formatCode>
                <c:ptCount val="2"/>
                <c:pt idx="0">
                  <c:v>15.690140845070422</c:v>
                </c:pt>
                <c:pt idx="1">
                  <c:v>21.164556962025316</c:v>
                </c:pt>
              </c:numCache>
            </c:numRef>
          </c:val>
          <c:extLst xmlns:c16r2="http://schemas.microsoft.com/office/drawing/2015/06/chart">
            <c:ext xmlns:c16="http://schemas.microsoft.com/office/drawing/2014/chart" uri="{C3380CC4-5D6E-409C-BE32-E72D297353CC}">
              <c16:uniqueId val="{00000003-3127-47D9-B518-7100919F82D9}"/>
            </c:ext>
          </c:extLst>
        </c:ser>
        <c:dLbls>
          <c:showLegendKey val="0"/>
          <c:showVal val="1"/>
          <c:showCatName val="0"/>
          <c:showSerName val="0"/>
          <c:showPercent val="0"/>
          <c:showBubbleSize val="0"/>
        </c:dLbls>
        <c:gapWidth val="150"/>
        <c:overlap val="100"/>
        <c:axId val="96045312"/>
        <c:axId val="96051200"/>
      </c:barChart>
      <c:catAx>
        <c:axId val="96045312"/>
        <c:scaling>
          <c:orientation val="minMax"/>
        </c:scaling>
        <c:delete val="0"/>
        <c:axPos val="b"/>
        <c:numFmt formatCode="General" sourceLinked="0"/>
        <c:majorTickMark val="none"/>
        <c:minorTickMark val="none"/>
        <c:tickLblPos val="nextTo"/>
        <c:crossAx val="96051200"/>
        <c:crosses val="autoZero"/>
        <c:auto val="1"/>
        <c:lblAlgn val="ctr"/>
        <c:lblOffset val="100"/>
        <c:noMultiLvlLbl val="0"/>
      </c:catAx>
      <c:valAx>
        <c:axId val="96051200"/>
        <c:scaling>
          <c:orientation val="minMax"/>
        </c:scaling>
        <c:delete val="1"/>
        <c:axPos val="l"/>
        <c:numFmt formatCode="0%" sourceLinked="1"/>
        <c:majorTickMark val="out"/>
        <c:minorTickMark val="none"/>
        <c:tickLblPos val="none"/>
        <c:crossAx val="96045312"/>
        <c:crosses val="autoZero"/>
        <c:crossBetween val="between"/>
      </c:valAx>
    </c:plotArea>
    <c:legend>
      <c:legendPos val="t"/>
      <c:layout/>
      <c:overlay val="0"/>
    </c:legend>
    <c:plotVisOnly val="1"/>
    <c:dispBlanksAs val="gap"/>
    <c:showDLblsOverMax val="0"/>
  </c:chart>
  <c:printSettings>
    <c:headerFooter/>
    <c:pageMargins b="0.75000000000000155" l="0.70000000000000062" r="0.70000000000000062" t="0.7500000000000015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Auteursrechtelijke</a:t>
            </a:r>
            <a:r>
              <a:rPr lang="nl-NL" baseline="0"/>
              <a:t> status metadata (n=71) </a:t>
            </a:r>
            <a:endParaRPr lang="nl-NL"/>
          </a:p>
        </c:rich>
      </c:tx>
      <c:layout/>
      <c:overlay val="0"/>
    </c:title>
    <c:autoTitleDeleted val="0"/>
    <c:plotArea>
      <c:layout/>
      <c:barChart>
        <c:barDir val="bar"/>
        <c:grouping val="percentStacked"/>
        <c:varyColors val="0"/>
        <c:ser>
          <c:idx val="0"/>
          <c:order val="0"/>
          <c:tx>
            <c:strRef>
              <c:f>Auteursrechten!$V$40</c:f>
              <c:strCache>
                <c:ptCount val="1"/>
                <c:pt idx="0">
                  <c:v>Publiek domein</c:v>
                </c:pt>
              </c:strCache>
            </c:strRef>
          </c:tx>
          <c:invertIfNegative val="0"/>
          <c:cat>
            <c:strRef>
              <c:f>Auteursrechten!$U$41:$U$45</c:f>
              <c:strCache>
                <c:ptCount val="5"/>
                <c:pt idx="0">
                  <c:v>Archieven (n=25)</c:v>
                </c:pt>
                <c:pt idx="1">
                  <c:v>Bibliotheken (n=5)</c:v>
                </c:pt>
                <c:pt idx="2">
                  <c:v>Musea (n=35)</c:v>
                </c:pt>
                <c:pt idx="3">
                  <c:v>Overig (n=6)</c:v>
                </c:pt>
                <c:pt idx="4">
                  <c:v>Totaal (n=71)</c:v>
                </c:pt>
              </c:strCache>
            </c:strRef>
          </c:cat>
          <c:val>
            <c:numRef>
              <c:f>Auteursrechten!$V$41:$V$45</c:f>
              <c:numCache>
                <c:formatCode>0.0</c:formatCode>
                <c:ptCount val="5"/>
                <c:pt idx="0">
                  <c:v>58.08</c:v>
                </c:pt>
                <c:pt idx="1">
                  <c:v>59</c:v>
                </c:pt>
                <c:pt idx="2">
                  <c:v>43.085714285714289</c:v>
                </c:pt>
                <c:pt idx="3">
                  <c:v>35</c:v>
                </c:pt>
                <c:pt idx="4" formatCode="General">
                  <c:v>48.8</c:v>
                </c:pt>
              </c:numCache>
            </c:numRef>
          </c:val>
          <c:extLst xmlns:c16r2="http://schemas.microsoft.com/office/drawing/2015/06/chart">
            <c:ext xmlns:c16="http://schemas.microsoft.com/office/drawing/2014/chart" uri="{C3380CC4-5D6E-409C-BE32-E72D297353CC}">
              <c16:uniqueId val="{00000000-4845-4209-B685-4189D6F7E9A8}"/>
            </c:ext>
          </c:extLst>
        </c:ser>
        <c:ser>
          <c:idx val="1"/>
          <c:order val="1"/>
          <c:tx>
            <c:strRef>
              <c:f>Auteursrechten!$W$40</c:f>
              <c:strCache>
                <c:ptCount val="1"/>
                <c:pt idx="0">
                  <c:v>Bij de instelling</c:v>
                </c:pt>
              </c:strCache>
            </c:strRef>
          </c:tx>
          <c:invertIfNegative val="0"/>
          <c:cat>
            <c:strRef>
              <c:f>Auteursrechten!$U$41:$U$45</c:f>
              <c:strCache>
                <c:ptCount val="5"/>
                <c:pt idx="0">
                  <c:v>Archieven (n=25)</c:v>
                </c:pt>
                <c:pt idx="1">
                  <c:v>Bibliotheken (n=5)</c:v>
                </c:pt>
                <c:pt idx="2">
                  <c:v>Musea (n=35)</c:v>
                </c:pt>
                <c:pt idx="3">
                  <c:v>Overig (n=6)</c:v>
                </c:pt>
                <c:pt idx="4">
                  <c:v>Totaal (n=71)</c:v>
                </c:pt>
              </c:strCache>
            </c:strRef>
          </c:cat>
          <c:val>
            <c:numRef>
              <c:f>Auteursrechten!$W$41:$W$45</c:f>
              <c:numCache>
                <c:formatCode>0.0</c:formatCode>
                <c:ptCount val="5"/>
                <c:pt idx="0">
                  <c:v>29.8</c:v>
                </c:pt>
                <c:pt idx="1">
                  <c:v>21</c:v>
                </c:pt>
                <c:pt idx="2">
                  <c:v>25.4</c:v>
                </c:pt>
                <c:pt idx="3">
                  <c:v>41.666666666666664</c:v>
                </c:pt>
                <c:pt idx="4" formatCode="General">
                  <c:v>28</c:v>
                </c:pt>
              </c:numCache>
            </c:numRef>
          </c:val>
          <c:extLst xmlns:c16r2="http://schemas.microsoft.com/office/drawing/2015/06/chart">
            <c:ext xmlns:c16="http://schemas.microsoft.com/office/drawing/2014/chart" uri="{C3380CC4-5D6E-409C-BE32-E72D297353CC}">
              <c16:uniqueId val="{00000001-4845-4209-B685-4189D6F7E9A8}"/>
            </c:ext>
          </c:extLst>
        </c:ser>
        <c:ser>
          <c:idx val="2"/>
          <c:order val="2"/>
          <c:tx>
            <c:strRef>
              <c:f>Auteursrechten!$X$40</c:f>
              <c:strCache>
                <c:ptCount val="1"/>
                <c:pt idx="0">
                  <c:v>Bij derden</c:v>
                </c:pt>
              </c:strCache>
            </c:strRef>
          </c:tx>
          <c:invertIfNegative val="0"/>
          <c:cat>
            <c:strRef>
              <c:f>Auteursrechten!$U$41:$U$45</c:f>
              <c:strCache>
                <c:ptCount val="5"/>
                <c:pt idx="0">
                  <c:v>Archieven (n=25)</c:v>
                </c:pt>
                <c:pt idx="1">
                  <c:v>Bibliotheken (n=5)</c:v>
                </c:pt>
                <c:pt idx="2">
                  <c:v>Musea (n=35)</c:v>
                </c:pt>
                <c:pt idx="3">
                  <c:v>Overig (n=6)</c:v>
                </c:pt>
                <c:pt idx="4">
                  <c:v>Totaal (n=71)</c:v>
                </c:pt>
              </c:strCache>
            </c:strRef>
          </c:cat>
          <c:val>
            <c:numRef>
              <c:f>Auteursrechten!$X$41:$X$45</c:f>
              <c:numCache>
                <c:formatCode>0.0</c:formatCode>
                <c:ptCount val="5"/>
                <c:pt idx="0">
                  <c:v>4.3600000000000003</c:v>
                </c:pt>
                <c:pt idx="1">
                  <c:v>19</c:v>
                </c:pt>
                <c:pt idx="2">
                  <c:v>8.7142857142857135</c:v>
                </c:pt>
                <c:pt idx="3">
                  <c:v>3.8333333333333335</c:v>
                </c:pt>
                <c:pt idx="4" formatCode="General">
                  <c:v>7.5</c:v>
                </c:pt>
              </c:numCache>
            </c:numRef>
          </c:val>
          <c:extLst xmlns:c16r2="http://schemas.microsoft.com/office/drawing/2015/06/chart">
            <c:ext xmlns:c16="http://schemas.microsoft.com/office/drawing/2014/chart" uri="{C3380CC4-5D6E-409C-BE32-E72D297353CC}">
              <c16:uniqueId val="{00000002-4845-4209-B685-4189D6F7E9A8}"/>
            </c:ext>
          </c:extLst>
        </c:ser>
        <c:ser>
          <c:idx val="3"/>
          <c:order val="3"/>
          <c:tx>
            <c:strRef>
              <c:f>Auteursrechten!$Y$40</c:f>
              <c:strCache>
                <c:ptCount val="1"/>
                <c:pt idx="0">
                  <c:v>Onbekend</c:v>
                </c:pt>
              </c:strCache>
            </c:strRef>
          </c:tx>
          <c:invertIfNegative val="0"/>
          <c:cat>
            <c:strRef>
              <c:f>Auteursrechten!$U$41:$U$45</c:f>
              <c:strCache>
                <c:ptCount val="5"/>
                <c:pt idx="0">
                  <c:v>Archieven (n=25)</c:v>
                </c:pt>
                <c:pt idx="1">
                  <c:v>Bibliotheken (n=5)</c:v>
                </c:pt>
                <c:pt idx="2">
                  <c:v>Musea (n=35)</c:v>
                </c:pt>
                <c:pt idx="3">
                  <c:v>Overig (n=6)</c:v>
                </c:pt>
                <c:pt idx="4">
                  <c:v>Totaal (n=71)</c:v>
                </c:pt>
              </c:strCache>
            </c:strRef>
          </c:cat>
          <c:val>
            <c:numRef>
              <c:f>Auteursrechten!$Y$41:$Y$45</c:f>
              <c:numCache>
                <c:formatCode>0.0</c:formatCode>
                <c:ptCount val="5"/>
                <c:pt idx="0">
                  <c:v>7.76</c:v>
                </c:pt>
                <c:pt idx="1">
                  <c:v>1</c:v>
                </c:pt>
                <c:pt idx="2">
                  <c:v>22.8</c:v>
                </c:pt>
                <c:pt idx="3">
                  <c:v>19.5</c:v>
                </c:pt>
                <c:pt idx="4" formatCode="General">
                  <c:v>15.7</c:v>
                </c:pt>
              </c:numCache>
            </c:numRef>
          </c:val>
          <c:extLst xmlns:c16r2="http://schemas.microsoft.com/office/drawing/2015/06/chart">
            <c:ext xmlns:c16="http://schemas.microsoft.com/office/drawing/2014/chart" uri="{C3380CC4-5D6E-409C-BE32-E72D297353CC}">
              <c16:uniqueId val="{00000003-4845-4209-B685-4189D6F7E9A8}"/>
            </c:ext>
          </c:extLst>
        </c:ser>
        <c:dLbls>
          <c:showLegendKey val="0"/>
          <c:showVal val="0"/>
          <c:showCatName val="0"/>
          <c:showSerName val="0"/>
          <c:showPercent val="0"/>
          <c:showBubbleSize val="0"/>
        </c:dLbls>
        <c:gapWidth val="150"/>
        <c:overlap val="100"/>
        <c:axId val="95739904"/>
        <c:axId val="95741440"/>
      </c:barChart>
      <c:catAx>
        <c:axId val="95739904"/>
        <c:scaling>
          <c:orientation val="minMax"/>
        </c:scaling>
        <c:delete val="0"/>
        <c:axPos val="l"/>
        <c:numFmt formatCode="General" sourceLinked="0"/>
        <c:majorTickMark val="none"/>
        <c:minorTickMark val="none"/>
        <c:tickLblPos val="nextTo"/>
        <c:crossAx val="95741440"/>
        <c:crosses val="autoZero"/>
        <c:auto val="1"/>
        <c:lblAlgn val="ctr"/>
        <c:lblOffset val="100"/>
        <c:noMultiLvlLbl val="0"/>
      </c:catAx>
      <c:valAx>
        <c:axId val="95741440"/>
        <c:scaling>
          <c:orientation val="minMax"/>
        </c:scaling>
        <c:delete val="0"/>
        <c:axPos val="b"/>
        <c:majorGridlines/>
        <c:numFmt formatCode="0%" sourceLinked="1"/>
        <c:majorTickMark val="none"/>
        <c:minorTickMark val="none"/>
        <c:tickLblPos val="nextTo"/>
        <c:crossAx val="95739904"/>
        <c:crosses val="autoZero"/>
        <c:crossBetween val="between"/>
      </c:valAx>
    </c:plotArea>
    <c:legend>
      <c:legendPos val="r"/>
      <c:layout/>
      <c:overlay val="0"/>
    </c:legend>
    <c:plotVisOnly val="1"/>
    <c:dispBlanksAs val="gap"/>
    <c:showDLblsOverMax val="0"/>
  </c:chart>
  <c:printSettings>
    <c:headerFooter/>
    <c:pageMargins b="0.75000000000000155" l="0.70000000000000062" r="0.70000000000000062" t="0.7500000000000015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sz="1800" b="1" i="0" baseline="0"/>
              <a:t>Auteursrechtelijke status </a:t>
            </a:r>
          </a:p>
          <a:p>
            <a:pPr>
              <a:defRPr/>
            </a:pPr>
            <a:r>
              <a:rPr lang="nl-NL" sz="1800" b="1" i="0" baseline="0"/>
              <a:t>digitale collectie (n=79) </a:t>
            </a:r>
          </a:p>
        </c:rich>
      </c:tx>
      <c:overlay val="0"/>
    </c:title>
    <c:autoTitleDeleted val="0"/>
    <c:plotArea>
      <c:layout/>
      <c:barChart>
        <c:barDir val="bar"/>
        <c:grouping val="percentStacked"/>
        <c:varyColors val="0"/>
        <c:ser>
          <c:idx val="0"/>
          <c:order val="0"/>
          <c:tx>
            <c:strRef>
              <c:f>Auteursrechten!$V$48</c:f>
              <c:strCache>
                <c:ptCount val="1"/>
                <c:pt idx="0">
                  <c:v>Publiek domein</c:v>
                </c:pt>
              </c:strCache>
            </c:strRef>
          </c:tx>
          <c:invertIfNegative val="0"/>
          <c:cat>
            <c:strRef>
              <c:f>Auteursrechten!$U$49:$U$53</c:f>
              <c:strCache>
                <c:ptCount val="5"/>
                <c:pt idx="0">
                  <c:v>Archieven (n=26)</c:v>
                </c:pt>
                <c:pt idx="1">
                  <c:v>Bibliotheken (n=5)</c:v>
                </c:pt>
                <c:pt idx="2">
                  <c:v>Musea (n=41)</c:v>
                </c:pt>
                <c:pt idx="3">
                  <c:v>Overig (n=7)</c:v>
                </c:pt>
                <c:pt idx="4">
                  <c:v>Totaal (n=79)</c:v>
                </c:pt>
              </c:strCache>
            </c:strRef>
          </c:cat>
          <c:val>
            <c:numRef>
              <c:f>Auteursrechten!$V$49:$V$53</c:f>
              <c:numCache>
                <c:formatCode>0.0</c:formatCode>
                <c:ptCount val="5"/>
                <c:pt idx="0">
                  <c:v>44.192307692307693</c:v>
                </c:pt>
                <c:pt idx="1">
                  <c:v>20.399999999999999</c:v>
                </c:pt>
                <c:pt idx="2">
                  <c:v>35.31707317073171</c:v>
                </c:pt>
                <c:pt idx="3">
                  <c:v>19.428571428571427</c:v>
                </c:pt>
                <c:pt idx="4" formatCode="General">
                  <c:v>35.9</c:v>
                </c:pt>
              </c:numCache>
            </c:numRef>
          </c:val>
          <c:extLst xmlns:c16r2="http://schemas.microsoft.com/office/drawing/2015/06/chart">
            <c:ext xmlns:c16="http://schemas.microsoft.com/office/drawing/2014/chart" uri="{C3380CC4-5D6E-409C-BE32-E72D297353CC}">
              <c16:uniqueId val="{00000000-07A8-4AC0-85C8-F035C62680E6}"/>
            </c:ext>
          </c:extLst>
        </c:ser>
        <c:ser>
          <c:idx val="1"/>
          <c:order val="1"/>
          <c:tx>
            <c:strRef>
              <c:f>Auteursrechten!$W$48</c:f>
              <c:strCache>
                <c:ptCount val="1"/>
                <c:pt idx="0">
                  <c:v>Bij de instelling</c:v>
                </c:pt>
              </c:strCache>
            </c:strRef>
          </c:tx>
          <c:invertIfNegative val="0"/>
          <c:cat>
            <c:strRef>
              <c:f>Auteursrechten!$U$49:$U$53</c:f>
              <c:strCache>
                <c:ptCount val="5"/>
                <c:pt idx="0">
                  <c:v>Archieven (n=26)</c:v>
                </c:pt>
                <c:pt idx="1">
                  <c:v>Bibliotheken (n=5)</c:v>
                </c:pt>
                <c:pt idx="2">
                  <c:v>Musea (n=41)</c:v>
                </c:pt>
                <c:pt idx="3">
                  <c:v>Overig (n=7)</c:v>
                </c:pt>
                <c:pt idx="4">
                  <c:v>Totaal (n=79)</c:v>
                </c:pt>
              </c:strCache>
            </c:strRef>
          </c:cat>
          <c:val>
            <c:numRef>
              <c:f>Auteursrechten!$W$49:$W$53</c:f>
              <c:numCache>
                <c:formatCode>0.0</c:formatCode>
                <c:ptCount val="5"/>
                <c:pt idx="0">
                  <c:v>15.76923076923077</c:v>
                </c:pt>
                <c:pt idx="1">
                  <c:v>13.2</c:v>
                </c:pt>
                <c:pt idx="2">
                  <c:v>28.536585365853657</c:v>
                </c:pt>
                <c:pt idx="3">
                  <c:v>30.857142857142858</c:v>
                </c:pt>
                <c:pt idx="4" formatCode="General">
                  <c:v>23.6</c:v>
                </c:pt>
              </c:numCache>
            </c:numRef>
          </c:val>
          <c:extLst xmlns:c16r2="http://schemas.microsoft.com/office/drawing/2015/06/chart">
            <c:ext xmlns:c16="http://schemas.microsoft.com/office/drawing/2014/chart" uri="{C3380CC4-5D6E-409C-BE32-E72D297353CC}">
              <c16:uniqueId val="{00000001-07A8-4AC0-85C8-F035C62680E6}"/>
            </c:ext>
          </c:extLst>
        </c:ser>
        <c:ser>
          <c:idx val="2"/>
          <c:order val="2"/>
          <c:tx>
            <c:strRef>
              <c:f>Auteursrechten!$X$48</c:f>
              <c:strCache>
                <c:ptCount val="1"/>
                <c:pt idx="0">
                  <c:v>Bij derden</c:v>
                </c:pt>
              </c:strCache>
            </c:strRef>
          </c:tx>
          <c:invertIfNegative val="0"/>
          <c:cat>
            <c:strRef>
              <c:f>Auteursrechten!$U$49:$U$53</c:f>
              <c:strCache>
                <c:ptCount val="5"/>
                <c:pt idx="0">
                  <c:v>Archieven (n=26)</c:v>
                </c:pt>
                <c:pt idx="1">
                  <c:v>Bibliotheken (n=5)</c:v>
                </c:pt>
                <c:pt idx="2">
                  <c:v>Musea (n=41)</c:v>
                </c:pt>
                <c:pt idx="3">
                  <c:v>Overig (n=7)</c:v>
                </c:pt>
                <c:pt idx="4">
                  <c:v>Totaal (n=79)</c:v>
                </c:pt>
              </c:strCache>
            </c:strRef>
          </c:cat>
          <c:val>
            <c:numRef>
              <c:f>Auteursrechten!$X$49:$X$53</c:f>
              <c:numCache>
                <c:formatCode>0.0</c:formatCode>
                <c:ptCount val="5"/>
                <c:pt idx="0">
                  <c:v>18.53846153846154</c:v>
                </c:pt>
                <c:pt idx="1">
                  <c:v>41.4</c:v>
                </c:pt>
                <c:pt idx="2">
                  <c:v>16.097560975609756</c:v>
                </c:pt>
                <c:pt idx="3">
                  <c:v>26</c:v>
                </c:pt>
                <c:pt idx="4" formatCode="General">
                  <c:v>19.399999999999999</c:v>
                </c:pt>
              </c:numCache>
            </c:numRef>
          </c:val>
          <c:extLst xmlns:c16r2="http://schemas.microsoft.com/office/drawing/2015/06/chart">
            <c:ext xmlns:c16="http://schemas.microsoft.com/office/drawing/2014/chart" uri="{C3380CC4-5D6E-409C-BE32-E72D297353CC}">
              <c16:uniqueId val="{00000002-07A8-4AC0-85C8-F035C62680E6}"/>
            </c:ext>
          </c:extLst>
        </c:ser>
        <c:ser>
          <c:idx val="3"/>
          <c:order val="3"/>
          <c:tx>
            <c:strRef>
              <c:f>Auteursrechten!$Y$48</c:f>
              <c:strCache>
                <c:ptCount val="1"/>
                <c:pt idx="0">
                  <c:v>Onbekend</c:v>
                </c:pt>
              </c:strCache>
            </c:strRef>
          </c:tx>
          <c:invertIfNegative val="0"/>
          <c:cat>
            <c:strRef>
              <c:f>Auteursrechten!$U$49:$U$53</c:f>
              <c:strCache>
                <c:ptCount val="5"/>
                <c:pt idx="0">
                  <c:v>Archieven (n=26)</c:v>
                </c:pt>
                <c:pt idx="1">
                  <c:v>Bibliotheken (n=5)</c:v>
                </c:pt>
                <c:pt idx="2">
                  <c:v>Musea (n=41)</c:v>
                </c:pt>
                <c:pt idx="3">
                  <c:v>Overig (n=7)</c:v>
                </c:pt>
                <c:pt idx="4">
                  <c:v>Totaal (n=79)</c:v>
                </c:pt>
              </c:strCache>
            </c:strRef>
          </c:cat>
          <c:val>
            <c:numRef>
              <c:f>Auteursrechten!$Y$49:$Y$53</c:f>
              <c:numCache>
                <c:formatCode>0.0</c:formatCode>
                <c:ptCount val="5"/>
                <c:pt idx="0">
                  <c:v>21.5</c:v>
                </c:pt>
                <c:pt idx="1">
                  <c:v>25</c:v>
                </c:pt>
                <c:pt idx="2">
                  <c:v>20.048780487804876</c:v>
                </c:pt>
                <c:pt idx="3">
                  <c:v>23.714285714285715</c:v>
                </c:pt>
                <c:pt idx="4" formatCode="General">
                  <c:v>21.2</c:v>
                </c:pt>
              </c:numCache>
            </c:numRef>
          </c:val>
          <c:extLst xmlns:c16r2="http://schemas.microsoft.com/office/drawing/2015/06/chart">
            <c:ext xmlns:c16="http://schemas.microsoft.com/office/drawing/2014/chart" uri="{C3380CC4-5D6E-409C-BE32-E72D297353CC}">
              <c16:uniqueId val="{00000003-07A8-4AC0-85C8-F035C62680E6}"/>
            </c:ext>
          </c:extLst>
        </c:ser>
        <c:dLbls>
          <c:showLegendKey val="0"/>
          <c:showVal val="0"/>
          <c:showCatName val="0"/>
          <c:showSerName val="0"/>
          <c:showPercent val="0"/>
          <c:showBubbleSize val="0"/>
        </c:dLbls>
        <c:gapWidth val="55"/>
        <c:overlap val="100"/>
        <c:axId val="95770112"/>
        <c:axId val="95771648"/>
      </c:barChart>
      <c:catAx>
        <c:axId val="95770112"/>
        <c:scaling>
          <c:orientation val="minMax"/>
        </c:scaling>
        <c:delete val="0"/>
        <c:axPos val="l"/>
        <c:numFmt formatCode="General" sourceLinked="0"/>
        <c:majorTickMark val="none"/>
        <c:minorTickMark val="none"/>
        <c:tickLblPos val="nextTo"/>
        <c:crossAx val="95771648"/>
        <c:crosses val="autoZero"/>
        <c:auto val="1"/>
        <c:lblAlgn val="ctr"/>
        <c:lblOffset val="100"/>
        <c:noMultiLvlLbl val="0"/>
      </c:catAx>
      <c:valAx>
        <c:axId val="95771648"/>
        <c:scaling>
          <c:orientation val="minMax"/>
        </c:scaling>
        <c:delete val="0"/>
        <c:axPos val="b"/>
        <c:majorGridlines/>
        <c:numFmt formatCode="0%" sourceLinked="1"/>
        <c:majorTickMark val="none"/>
        <c:minorTickMark val="none"/>
        <c:tickLblPos val="nextTo"/>
        <c:crossAx val="95770112"/>
        <c:crosses val="autoZero"/>
        <c:crossBetween val="between"/>
      </c:valAx>
    </c:plotArea>
    <c:legend>
      <c:legendPos val="r"/>
      <c:overlay val="0"/>
    </c:legend>
    <c:plotVisOnly val="1"/>
    <c:dispBlanksAs val="gap"/>
    <c:showDLblsOverMax val="0"/>
  </c:chart>
  <c:printSettings>
    <c:headerFooter/>
    <c:pageMargins b="0.75000000000000155" l="0.70000000000000062" r="0.70000000000000062" t="0.7500000000000015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chemeClr val="dk1">
                    <a:lumMod val="65000"/>
                    <a:lumOff val="35000"/>
                  </a:schemeClr>
                </a:solidFill>
                <a:effectLst/>
                <a:latin typeface="+mn-lt"/>
                <a:ea typeface="+mn-ea"/>
                <a:cs typeface="+mn-cs"/>
              </a:defRPr>
            </a:pPr>
            <a:r>
              <a:rPr lang="nl-NL"/>
              <a:t>% digitale objecten beschikbaar </a:t>
            </a:r>
          </a:p>
          <a:p>
            <a:pPr>
              <a:defRPr b="0" i="0" u="none" strike="noStrike" kern="1200" baseline="0">
                <a:solidFill>
                  <a:schemeClr val="dk1">
                    <a:lumMod val="65000"/>
                    <a:lumOff val="35000"/>
                  </a:schemeClr>
                </a:solidFill>
                <a:effectLst/>
                <a:latin typeface="+mn-lt"/>
                <a:ea typeface="+mn-ea"/>
                <a:cs typeface="+mn-cs"/>
              </a:defRPr>
            </a:pPr>
            <a:r>
              <a:rPr lang="nl-NL"/>
              <a:t>via de volgende kanalen (n=47)</a:t>
            </a:r>
          </a:p>
        </c:rich>
      </c:tx>
      <c:layout/>
      <c:overlay val="0"/>
      <c:spPr>
        <a:noFill/>
        <a:ln>
          <a:noFill/>
        </a:ln>
        <a:effectLst/>
      </c:spPr>
    </c:title>
    <c:autoTitleDeleted val="0"/>
    <c:plotArea>
      <c:layout/>
      <c:barChart>
        <c:barDir val="col"/>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nl-NL"/>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Kanalen!$H$7:$H$9</c:f>
              <c:strCache>
                <c:ptCount val="3"/>
                <c:pt idx="0">
                  <c:v>% Alleen offline (intern gebruik)</c:v>
                </c:pt>
                <c:pt idx="1">
                  <c:v>% Alleen offline (voor medewerkers en voor bezoekers)</c:v>
                </c:pt>
                <c:pt idx="2">
                  <c:v>% Online</c:v>
                </c:pt>
              </c:strCache>
            </c:strRef>
          </c:cat>
          <c:val>
            <c:numRef>
              <c:f>Kanalen!$I$7:$I$9</c:f>
              <c:numCache>
                <c:formatCode>0</c:formatCode>
                <c:ptCount val="3"/>
                <c:pt idx="0">
                  <c:v>24.085106382978722</c:v>
                </c:pt>
                <c:pt idx="1">
                  <c:v>17.638297872340427</c:v>
                </c:pt>
                <c:pt idx="2">
                  <c:v>58.276595744680854</c:v>
                </c:pt>
              </c:numCache>
            </c:numRef>
          </c:val>
          <c:extLst xmlns:c16r2="http://schemas.microsoft.com/office/drawing/2015/06/chart">
            <c:ext xmlns:c16="http://schemas.microsoft.com/office/drawing/2014/chart" uri="{C3380CC4-5D6E-409C-BE32-E72D297353CC}">
              <c16:uniqueId val="{00000000-FFB8-4D01-94E8-C4D76E1F97AB}"/>
            </c:ext>
          </c:extLst>
        </c:ser>
        <c:dLbls>
          <c:showLegendKey val="0"/>
          <c:showVal val="1"/>
          <c:showCatName val="0"/>
          <c:showSerName val="0"/>
          <c:showPercent val="0"/>
          <c:showBubbleSize val="0"/>
        </c:dLbls>
        <c:gapWidth val="41"/>
        <c:axId val="98188288"/>
        <c:axId val="98207616"/>
      </c:barChart>
      <c:catAx>
        <c:axId val="981882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effectLst/>
                <a:latin typeface="+mn-lt"/>
                <a:ea typeface="+mn-ea"/>
                <a:cs typeface="+mn-cs"/>
              </a:defRPr>
            </a:pPr>
            <a:endParaRPr lang="nl-NL"/>
          </a:p>
        </c:txPr>
        <c:crossAx val="98207616"/>
        <c:crosses val="autoZero"/>
        <c:auto val="1"/>
        <c:lblAlgn val="ctr"/>
        <c:lblOffset val="100"/>
        <c:noMultiLvlLbl val="0"/>
      </c:catAx>
      <c:valAx>
        <c:axId val="98207616"/>
        <c:scaling>
          <c:orientation val="minMax"/>
        </c:scaling>
        <c:delete val="1"/>
        <c:axPos val="l"/>
        <c:numFmt formatCode="0" sourceLinked="1"/>
        <c:majorTickMark val="none"/>
        <c:minorTickMark val="none"/>
        <c:tickLblPos val="none"/>
        <c:crossAx val="981882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dk1">
          <a:lumMod val="15000"/>
          <a:lumOff val="85000"/>
        </a:schemeClr>
      </a:solidFill>
      <a:round/>
    </a:ln>
    <a:effectLst/>
  </c:spPr>
  <c:txPr>
    <a:bodyPr/>
    <a:lstStyle/>
    <a:p>
      <a:pPr>
        <a:defRPr/>
      </a:pPr>
      <a:endParaRPr lang="nl-NL"/>
    </a:p>
  </c:txPr>
  <c:printSettings>
    <c:headerFooter/>
    <c:pageMargins b="0.75000000000000155" l="0.70000000000000062" r="0.70000000000000062" t="0.7500000000000015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Beschikbaarheid</a:t>
            </a:r>
            <a:r>
              <a:rPr lang="nl-NL" baseline="0"/>
              <a:t> digitale collectie via online kanalen </a:t>
            </a:r>
            <a:r>
              <a:rPr lang="nl-NL"/>
              <a:t>(n=81)</a:t>
            </a:r>
          </a:p>
        </c:rich>
      </c:tx>
      <c:layout/>
      <c:overlay val="0"/>
      <c:spPr>
        <a:noFill/>
        <a:ln>
          <a:noFill/>
        </a:ln>
        <a:effectLst/>
      </c:spPr>
    </c:title>
    <c:autoTitleDeleted val="0"/>
    <c:plotArea>
      <c:layout/>
      <c:barChart>
        <c:barDir val="bar"/>
        <c:grouping val="clustered"/>
        <c:varyColors val="0"/>
        <c:ser>
          <c:idx val="0"/>
          <c:order val="0"/>
          <c:tx>
            <c:strRef>
              <c:f>'Online kanalen'!$C$91</c:f>
              <c:strCache>
                <c:ptCount val="1"/>
                <c:pt idx="0">
                  <c:v>2019</c:v>
                </c:pt>
              </c:strCache>
            </c:strRef>
          </c:tx>
          <c:spPr>
            <a:solidFill>
              <a:schemeClr val="accent1"/>
            </a:solidFill>
            <a:ln>
              <a:noFill/>
            </a:ln>
            <a:effectLst/>
          </c:spPr>
          <c:invertIfNegative val="0"/>
          <c:cat>
            <c:strRef>
              <c:f>'Online kanalen'!$B$92:$B$100</c:f>
              <c:strCache>
                <c:ptCount val="9"/>
                <c:pt idx="0">
                  <c:v>Anders</c:v>
                </c:pt>
                <c:pt idx="1">
                  <c:v>API van derden</c:v>
                </c:pt>
                <c:pt idx="2">
                  <c:v>Institutionele API</c:v>
                </c:pt>
                <c:pt idx="3">
                  <c:v>Andere Sociale media platforms</c:v>
                </c:pt>
                <c:pt idx="4">
                  <c:v>Wikipedia/Wikimedia</c:v>
                </c:pt>
                <c:pt idx="5">
                  <c:v>Ander type aggregator</c:v>
                </c:pt>
                <c:pt idx="6">
                  <c:v>Europeana</c:v>
                </c:pt>
                <c:pt idx="7">
                  <c:v>Nationale aggregator</c:v>
                </c:pt>
                <c:pt idx="8">
                  <c:v>Institutionele website</c:v>
                </c:pt>
              </c:strCache>
            </c:strRef>
          </c:cat>
          <c:val>
            <c:numRef>
              <c:f>'Online kanalen'!$C$92:$C$100</c:f>
              <c:numCache>
                <c:formatCode>0</c:formatCode>
                <c:ptCount val="9"/>
                <c:pt idx="0">
                  <c:v>30.285714285714285</c:v>
                </c:pt>
                <c:pt idx="1">
                  <c:v>20.80952380952381</c:v>
                </c:pt>
                <c:pt idx="4">
                  <c:v>11.095238095238095</c:v>
                </c:pt>
                <c:pt idx="5">
                  <c:v>26.857142857142858</c:v>
                </c:pt>
                <c:pt idx="6">
                  <c:v>39.307692307692307</c:v>
                </c:pt>
                <c:pt idx="7">
                  <c:v>54.055555555555557</c:v>
                </c:pt>
                <c:pt idx="8">
                  <c:v>59.907692307692308</c:v>
                </c:pt>
              </c:numCache>
            </c:numRef>
          </c:val>
          <c:extLst xmlns:c16r2="http://schemas.microsoft.com/office/drawing/2015/06/chart">
            <c:ext xmlns:c16="http://schemas.microsoft.com/office/drawing/2014/chart" uri="{C3380CC4-5D6E-409C-BE32-E72D297353CC}">
              <c16:uniqueId val="{00000000-62EA-45F3-964E-CAB2F03F2404}"/>
            </c:ext>
          </c:extLst>
        </c:ser>
        <c:ser>
          <c:idx val="1"/>
          <c:order val="1"/>
          <c:tx>
            <c:strRef>
              <c:f>'Online kanalen'!$D$91</c:f>
              <c:strCache>
                <c:ptCount val="1"/>
                <c:pt idx="0">
                  <c:v>2017</c:v>
                </c:pt>
              </c:strCache>
            </c:strRef>
          </c:tx>
          <c:spPr>
            <a:solidFill>
              <a:schemeClr val="accent2"/>
            </a:solidFill>
            <a:ln>
              <a:noFill/>
            </a:ln>
            <a:effectLst/>
          </c:spPr>
          <c:invertIfNegative val="0"/>
          <c:cat>
            <c:strRef>
              <c:f>'Online kanalen'!$B$92:$B$100</c:f>
              <c:strCache>
                <c:ptCount val="9"/>
                <c:pt idx="0">
                  <c:v>Anders</c:v>
                </c:pt>
                <c:pt idx="1">
                  <c:v>API van derden</c:v>
                </c:pt>
                <c:pt idx="2">
                  <c:v>Institutionele API</c:v>
                </c:pt>
                <c:pt idx="3">
                  <c:v>Andere Sociale media platforms</c:v>
                </c:pt>
                <c:pt idx="4">
                  <c:v>Wikipedia/Wikimedia</c:v>
                </c:pt>
                <c:pt idx="5">
                  <c:v>Ander type aggregator</c:v>
                </c:pt>
                <c:pt idx="6">
                  <c:v>Europeana</c:v>
                </c:pt>
                <c:pt idx="7">
                  <c:v>Nationale aggregator</c:v>
                </c:pt>
                <c:pt idx="8">
                  <c:v>Institutionele website</c:v>
                </c:pt>
              </c:strCache>
            </c:strRef>
          </c:cat>
          <c:val>
            <c:numRef>
              <c:f>'Online kanalen'!$D$92:$D$100</c:f>
              <c:numCache>
                <c:formatCode>0</c:formatCode>
                <c:ptCount val="9"/>
                <c:pt idx="0">
                  <c:v>21.142857142857142</c:v>
                </c:pt>
                <c:pt idx="1">
                  <c:v>13.9</c:v>
                </c:pt>
                <c:pt idx="4">
                  <c:v>3.1052631578947367</c:v>
                </c:pt>
                <c:pt idx="5">
                  <c:v>17.555555555555557</c:v>
                </c:pt>
                <c:pt idx="6">
                  <c:v>34.512195121951223</c:v>
                </c:pt>
                <c:pt idx="7">
                  <c:v>49.153846153846153</c:v>
                </c:pt>
                <c:pt idx="8">
                  <c:v>52.464788732394368</c:v>
                </c:pt>
              </c:numCache>
            </c:numRef>
          </c:val>
          <c:extLst xmlns:c16r2="http://schemas.microsoft.com/office/drawing/2015/06/chart">
            <c:ext xmlns:c16="http://schemas.microsoft.com/office/drawing/2014/chart" uri="{C3380CC4-5D6E-409C-BE32-E72D297353CC}">
              <c16:uniqueId val="{00000001-62EA-45F3-964E-CAB2F03F2404}"/>
            </c:ext>
          </c:extLst>
        </c:ser>
        <c:ser>
          <c:idx val="2"/>
          <c:order val="2"/>
          <c:tx>
            <c:strRef>
              <c:f>'Online kanalen'!$E$91</c:f>
              <c:strCache>
                <c:ptCount val="1"/>
                <c:pt idx="0">
                  <c:v>2015</c:v>
                </c:pt>
              </c:strCache>
            </c:strRef>
          </c:tx>
          <c:spPr>
            <a:solidFill>
              <a:schemeClr val="accent3"/>
            </a:solidFill>
            <a:ln>
              <a:noFill/>
            </a:ln>
            <a:effectLst/>
          </c:spPr>
          <c:invertIfNegative val="0"/>
          <c:cat>
            <c:strRef>
              <c:f>'Online kanalen'!$B$92:$B$100</c:f>
              <c:strCache>
                <c:ptCount val="9"/>
                <c:pt idx="0">
                  <c:v>Anders</c:v>
                </c:pt>
                <c:pt idx="1">
                  <c:v>API van derden</c:v>
                </c:pt>
                <c:pt idx="2">
                  <c:v>Institutionele API</c:v>
                </c:pt>
                <c:pt idx="3">
                  <c:v>Andere Sociale media platforms</c:v>
                </c:pt>
                <c:pt idx="4">
                  <c:v>Wikipedia/Wikimedia</c:v>
                </c:pt>
                <c:pt idx="5">
                  <c:v>Ander type aggregator</c:v>
                </c:pt>
                <c:pt idx="6">
                  <c:v>Europeana</c:v>
                </c:pt>
                <c:pt idx="7">
                  <c:v>Nationale aggregator</c:v>
                </c:pt>
                <c:pt idx="8">
                  <c:v>Institutionele website</c:v>
                </c:pt>
              </c:strCache>
            </c:strRef>
          </c:cat>
          <c:val>
            <c:numRef>
              <c:f>'Online kanalen'!$E$92:$E$100</c:f>
              <c:numCache>
                <c:formatCode>General</c:formatCode>
                <c:ptCount val="9"/>
                <c:pt idx="0">
                  <c:v>7</c:v>
                </c:pt>
                <c:pt idx="1">
                  <c:v>9</c:v>
                </c:pt>
                <c:pt idx="2">
                  <c:v>8</c:v>
                </c:pt>
                <c:pt idx="3">
                  <c:v>2</c:v>
                </c:pt>
                <c:pt idx="4">
                  <c:v>1</c:v>
                </c:pt>
                <c:pt idx="5">
                  <c:v>11</c:v>
                </c:pt>
                <c:pt idx="6">
                  <c:v>16</c:v>
                </c:pt>
                <c:pt idx="7">
                  <c:v>21</c:v>
                </c:pt>
                <c:pt idx="8">
                  <c:v>53</c:v>
                </c:pt>
              </c:numCache>
            </c:numRef>
          </c:val>
          <c:extLst xmlns:c16r2="http://schemas.microsoft.com/office/drawing/2015/06/chart">
            <c:ext xmlns:c16="http://schemas.microsoft.com/office/drawing/2014/chart" uri="{C3380CC4-5D6E-409C-BE32-E72D297353CC}">
              <c16:uniqueId val="{00000002-62EA-45F3-964E-CAB2F03F2404}"/>
            </c:ext>
          </c:extLst>
        </c:ser>
        <c:ser>
          <c:idx val="3"/>
          <c:order val="3"/>
          <c:tx>
            <c:strRef>
              <c:f>'Online kanalen'!$F$91</c:f>
              <c:strCache>
                <c:ptCount val="1"/>
                <c:pt idx="0">
                  <c:v>2013</c:v>
                </c:pt>
              </c:strCache>
            </c:strRef>
          </c:tx>
          <c:spPr>
            <a:solidFill>
              <a:schemeClr val="accent4"/>
            </a:solidFill>
            <a:ln>
              <a:noFill/>
            </a:ln>
            <a:effectLst/>
          </c:spPr>
          <c:invertIfNegative val="0"/>
          <c:cat>
            <c:strRef>
              <c:f>'Online kanalen'!$B$92:$B$100</c:f>
              <c:strCache>
                <c:ptCount val="9"/>
                <c:pt idx="0">
                  <c:v>Anders</c:v>
                </c:pt>
                <c:pt idx="1">
                  <c:v>API van derden</c:v>
                </c:pt>
                <c:pt idx="2">
                  <c:v>Institutionele API</c:v>
                </c:pt>
                <c:pt idx="3">
                  <c:v>Andere Sociale media platforms</c:v>
                </c:pt>
                <c:pt idx="4">
                  <c:v>Wikipedia/Wikimedia</c:v>
                </c:pt>
                <c:pt idx="5">
                  <c:v>Ander type aggregator</c:v>
                </c:pt>
                <c:pt idx="6">
                  <c:v>Europeana</c:v>
                </c:pt>
                <c:pt idx="7">
                  <c:v>Nationale aggregator</c:v>
                </c:pt>
                <c:pt idx="8">
                  <c:v>Institutionele website</c:v>
                </c:pt>
              </c:strCache>
            </c:strRef>
          </c:cat>
          <c:val>
            <c:numRef>
              <c:f>'Online kanalen'!$F$92:$F$100</c:f>
              <c:numCache>
                <c:formatCode>General</c:formatCode>
                <c:ptCount val="9"/>
                <c:pt idx="0">
                  <c:v>4</c:v>
                </c:pt>
                <c:pt idx="1">
                  <c:v>5</c:v>
                </c:pt>
                <c:pt idx="2">
                  <c:v>8</c:v>
                </c:pt>
                <c:pt idx="3">
                  <c:v>3</c:v>
                </c:pt>
                <c:pt idx="4">
                  <c:v>1</c:v>
                </c:pt>
                <c:pt idx="5">
                  <c:v>3</c:v>
                </c:pt>
                <c:pt idx="6">
                  <c:v>10</c:v>
                </c:pt>
                <c:pt idx="7">
                  <c:v>14</c:v>
                </c:pt>
                <c:pt idx="8">
                  <c:v>34</c:v>
                </c:pt>
              </c:numCache>
            </c:numRef>
          </c:val>
          <c:extLst xmlns:c16r2="http://schemas.microsoft.com/office/drawing/2015/06/chart">
            <c:ext xmlns:c16="http://schemas.microsoft.com/office/drawing/2014/chart" uri="{C3380CC4-5D6E-409C-BE32-E72D297353CC}">
              <c16:uniqueId val="{00000003-62EA-45F3-964E-CAB2F03F2404}"/>
            </c:ext>
          </c:extLst>
        </c:ser>
        <c:dLbls>
          <c:showLegendKey val="0"/>
          <c:showVal val="0"/>
          <c:showCatName val="0"/>
          <c:showSerName val="0"/>
          <c:showPercent val="0"/>
          <c:showBubbleSize val="0"/>
        </c:dLbls>
        <c:gapWidth val="150"/>
        <c:axId val="103585664"/>
        <c:axId val="103587200"/>
      </c:barChart>
      <c:catAx>
        <c:axId val="1035856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3587200"/>
        <c:crosses val="autoZero"/>
        <c:auto val="1"/>
        <c:lblAlgn val="ctr"/>
        <c:lblOffset val="100"/>
        <c:noMultiLvlLbl val="0"/>
      </c:catAx>
      <c:valAx>
        <c:axId val="10358720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3585664"/>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000000000000155" l="0.70000000000000062" r="0.70000000000000062" t="0.7500000000000015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nl-NL">
                <a:solidFill>
                  <a:sysClr val="windowText" lastClr="000000"/>
                </a:solidFill>
              </a:rPr>
              <a:t>Redenen tot digitalisering voor de instellingen (n=89)</a:t>
            </a:r>
          </a:p>
        </c:rich>
      </c:tx>
      <c:layout/>
      <c:overlay val="0"/>
      <c:spPr>
        <a:noFill/>
        <a:ln>
          <a:noFill/>
        </a:ln>
        <a:effectLst/>
      </c:sp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nl-NL"/>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Gebruik!$L$5:$L$12</c:f>
              <c:strCache>
                <c:ptCount val="8"/>
                <c:pt idx="0">
                  <c:v>Commerciële doelen (verkoop, licenties)</c:v>
                </c:pt>
                <c:pt idx="1">
                  <c:v>Ideologisch en/of religieus gebruik, gedenken</c:v>
                </c:pt>
                <c:pt idx="2">
                  <c:v>Andere soorten van gebruik</c:v>
                </c:pt>
                <c:pt idx="3">
                  <c:v>Creatief (her-)gebruik/Remix</c:v>
                </c:pt>
                <c:pt idx="4">
                  <c:v>Individueel genoegen</c:v>
                </c:pt>
                <c:pt idx="5">
                  <c:v>Gebruik in het onderwijs</c:v>
                </c:pt>
                <c:pt idx="6">
                  <c:v>Wetenschappelijk onderzoek</c:v>
                </c:pt>
                <c:pt idx="7">
                  <c:v>Bescherming/behoud van de fysieke originelen</c:v>
                </c:pt>
              </c:strCache>
            </c:strRef>
          </c:cat>
          <c:val>
            <c:numRef>
              <c:f>Gebruik!$M$5:$M$12</c:f>
              <c:numCache>
                <c:formatCode>0.0</c:formatCode>
                <c:ptCount val="8"/>
                <c:pt idx="0">
                  <c:v>3.3493975903614457</c:v>
                </c:pt>
                <c:pt idx="1">
                  <c:v>3.4578313253012047</c:v>
                </c:pt>
                <c:pt idx="2">
                  <c:v>4.7692307692307692</c:v>
                </c:pt>
                <c:pt idx="3">
                  <c:v>5.5357142857142856</c:v>
                </c:pt>
                <c:pt idx="4">
                  <c:v>7.2873563218390807</c:v>
                </c:pt>
                <c:pt idx="5">
                  <c:v>7.3370786516853936</c:v>
                </c:pt>
                <c:pt idx="6">
                  <c:v>7.415730337078652</c:v>
                </c:pt>
                <c:pt idx="7">
                  <c:v>7.4772727272727275</c:v>
                </c:pt>
              </c:numCache>
            </c:numRef>
          </c:val>
          <c:extLst xmlns:c16r2="http://schemas.microsoft.com/office/drawing/2015/06/chart">
            <c:ext xmlns:c16="http://schemas.microsoft.com/office/drawing/2014/chart" uri="{C3380CC4-5D6E-409C-BE32-E72D297353CC}">
              <c16:uniqueId val="{00000000-C687-4C0F-B479-139D253ACB46}"/>
            </c:ext>
          </c:extLst>
        </c:ser>
        <c:dLbls>
          <c:showLegendKey val="0"/>
          <c:showVal val="1"/>
          <c:showCatName val="0"/>
          <c:showSerName val="0"/>
          <c:showPercent val="0"/>
          <c:showBubbleSize val="0"/>
        </c:dLbls>
        <c:gapWidth val="100"/>
        <c:axId val="103615872"/>
        <c:axId val="103631104"/>
      </c:barChart>
      <c:catAx>
        <c:axId val="103615872"/>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103631104"/>
        <c:crosses val="autoZero"/>
        <c:auto val="1"/>
        <c:lblAlgn val="ctr"/>
        <c:lblOffset val="100"/>
        <c:noMultiLvlLbl val="0"/>
      </c:catAx>
      <c:valAx>
        <c:axId val="103631104"/>
        <c:scaling>
          <c:orientation val="minMax"/>
        </c:scaling>
        <c:delete val="0"/>
        <c:axPos val="b"/>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103615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nl-NL"/>
    </a:p>
  </c:txPr>
  <c:printSettings>
    <c:headerFooter/>
    <c:pageMargins b="0.75000000000000155" l="0.70000000000000062" r="0.70000000000000062" t="0.750000000000001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Jaarbudget van respondenten </a:t>
            </a:r>
            <a:endParaRPr lang="nl-NL">
              <a:effectLst/>
            </a:endParaRPr>
          </a:p>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(n = 133)</a:t>
            </a:r>
            <a:endParaRPr lang="nl-NL">
              <a:effectLst/>
            </a:endParaRPr>
          </a:p>
        </c:rich>
      </c:tx>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1C72-43AB-B232-13DC7CCD6EDD}"/>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1C72-43AB-B232-13DC7CCD6EDD}"/>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1C72-43AB-B232-13DC7CCD6EDD}"/>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1C72-43AB-B232-13DC7CCD6EDD}"/>
              </c:ext>
            </c:extLst>
          </c:dPt>
          <c:dPt>
            <c:idx val="4"/>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1C72-43AB-B232-13DC7CCD6EDD}"/>
              </c:ext>
            </c:extLst>
          </c:dPt>
          <c:dPt>
            <c:idx val="5"/>
            <c:bubble3D val="0"/>
            <c:spPr>
              <a:solidFill>
                <a:schemeClr val="accent6"/>
              </a:solidFill>
              <a:ln w="19050">
                <a:solidFill>
                  <a:schemeClr val="lt1"/>
                </a:solidFill>
              </a:ln>
              <a:effectLst/>
            </c:spPr>
            <c:extLst xmlns:c16r2="http://schemas.microsoft.com/office/drawing/2015/06/chart">
              <c:ext xmlns:c16="http://schemas.microsoft.com/office/drawing/2014/chart" uri="{C3380CC4-5D6E-409C-BE32-E72D297353CC}">
                <c16:uniqueId val="{0000000B-1C72-43AB-B232-13DC7CCD6EDD}"/>
              </c:ext>
            </c:extLst>
          </c:dPt>
          <c:dPt>
            <c:idx val="6"/>
            <c:bubble3D val="0"/>
            <c:spPr>
              <a:solidFill>
                <a:schemeClr val="accent1">
                  <a:lumMod val="60000"/>
                </a:schemeClr>
              </a:solidFill>
              <a:ln w="19050">
                <a:solidFill>
                  <a:schemeClr val="lt1"/>
                </a:solidFill>
              </a:ln>
              <a:effectLst/>
            </c:spPr>
            <c:extLst xmlns:c16r2="http://schemas.microsoft.com/office/drawing/2015/06/chart">
              <c:ext xmlns:c16="http://schemas.microsoft.com/office/drawing/2014/chart" uri="{C3380CC4-5D6E-409C-BE32-E72D297353CC}">
                <c16:uniqueId val="{0000000D-1C72-43AB-B232-13DC7CCD6ED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'Budget &amp; FTE'!$F$8:$F$14</c:f>
              <c:strCache>
                <c:ptCount val="7"/>
                <c:pt idx="0">
                  <c:v>&lt; 10,000 €</c:v>
                </c:pt>
                <c:pt idx="1">
                  <c:v>10,000-50,000 €</c:v>
                </c:pt>
                <c:pt idx="2">
                  <c:v>50,000-100,000 €</c:v>
                </c:pt>
                <c:pt idx="3">
                  <c:v>100,000-500,000 €</c:v>
                </c:pt>
                <c:pt idx="4">
                  <c:v>500,000-1M €</c:v>
                </c:pt>
                <c:pt idx="5">
                  <c:v>1 - 10M €</c:v>
                </c:pt>
                <c:pt idx="6">
                  <c:v>&gt; 10M €</c:v>
                </c:pt>
              </c:strCache>
            </c:strRef>
          </c:cat>
          <c:val>
            <c:numRef>
              <c:f>'Budget &amp; FTE'!$G$8:$G$14</c:f>
              <c:numCache>
                <c:formatCode>General</c:formatCode>
                <c:ptCount val="7"/>
                <c:pt idx="0">
                  <c:v>11</c:v>
                </c:pt>
                <c:pt idx="1">
                  <c:v>16</c:v>
                </c:pt>
                <c:pt idx="2">
                  <c:v>14</c:v>
                </c:pt>
                <c:pt idx="3">
                  <c:v>27</c:v>
                </c:pt>
                <c:pt idx="4">
                  <c:v>15</c:v>
                </c:pt>
                <c:pt idx="5">
                  <c:v>38</c:v>
                </c:pt>
                <c:pt idx="6">
                  <c:v>12</c:v>
                </c:pt>
              </c:numCache>
            </c:numRef>
          </c:val>
          <c:extLst xmlns:c16r2="http://schemas.microsoft.com/office/drawing/2015/06/chart">
            <c:ext xmlns:c16="http://schemas.microsoft.com/office/drawing/2014/chart" uri="{C3380CC4-5D6E-409C-BE32-E72D297353CC}">
              <c16:uniqueId val="{00000000-DA60-4A4F-B2CA-7A6CA6BEE243}"/>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000000000000167" l="0.70000000000000062" r="0.70000000000000062" t="0.75000000000000167"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nl-NL" sz="1800" b="1" i="0" u="none" strike="noStrike" baseline="0">
                <a:effectLst/>
              </a:rPr>
              <a:t>Meet je organisatie het gebruik van je digitale collecties</a:t>
            </a:r>
            <a:r>
              <a:rPr lang="nl-NL"/>
              <a:t>? (n=77)</a:t>
            </a:r>
          </a:p>
        </c:rich>
      </c:tx>
      <c:layout/>
      <c:overlay val="0"/>
      <c:spPr>
        <a:noFill/>
        <a:ln>
          <a:noFill/>
        </a:ln>
        <a:effectLst/>
      </c:sp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0-4E3B-4691-B421-914B43037A6A}"/>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1-4E3B-4691-B421-914B43037A6A}"/>
              </c:ext>
            </c:extLst>
          </c:dPt>
          <c:dPt>
            <c:idx val="2"/>
            <c:bubble3D val="0"/>
            <c:spPr>
              <a:solidFill>
                <a:schemeClr val="accent3"/>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2-4E3B-4691-B421-914B43037A6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nl-NL"/>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Gebruiksstatistieken!$O$4:$O$5</c:f>
              <c:strCache>
                <c:ptCount val="2"/>
                <c:pt idx="0">
                  <c:v>Ja</c:v>
                </c:pt>
                <c:pt idx="1">
                  <c:v>Nee</c:v>
                </c:pt>
              </c:strCache>
            </c:strRef>
          </c:cat>
          <c:val>
            <c:numRef>
              <c:f>Gebruiksstatistieken!$P$4:$P$5</c:f>
              <c:numCache>
                <c:formatCode>General</c:formatCode>
                <c:ptCount val="2"/>
                <c:pt idx="0">
                  <c:v>42</c:v>
                </c:pt>
                <c:pt idx="1">
                  <c:v>35</c:v>
                </c:pt>
              </c:numCache>
            </c:numRef>
          </c:val>
          <c:extLst xmlns:c16r2="http://schemas.microsoft.com/office/drawing/2015/06/chart">
            <c:ext xmlns:c16="http://schemas.microsoft.com/office/drawing/2014/chart" uri="{C3380CC4-5D6E-409C-BE32-E72D297353CC}">
              <c16:uniqueId val="{00000000-EF32-4B52-93FD-6CA6992F2D98}"/>
            </c:ext>
          </c:extLst>
        </c:ser>
        <c:dLbls>
          <c:showLegendKey val="0"/>
          <c:showVal val="0"/>
          <c:showCatName val="0"/>
          <c:showSerName val="0"/>
          <c:showPercent val="1"/>
          <c:showBubbleSize val="0"/>
          <c:showLeaderLines val="1"/>
        </c:dLbls>
        <c:firstSliceAng val="0"/>
      </c:pieChart>
      <c:spPr>
        <a:noFill/>
        <a:ln>
          <a:noFill/>
        </a:ln>
        <a:effectLst/>
      </c:spPr>
    </c:plotArea>
    <c:legend>
      <c:legendPos val="b"/>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nl-NL"/>
        </a:p>
      </c:txPr>
    </c:legend>
    <c:plotVisOnly val="1"/>
    <c:dispBlanksAs val="zero"/>
    <c:showDLblsOverMax val="0"/>
  </c:chart>
  <c:spPr>
    <a:solidFill>
      <a:schemeClr val="bg1"/>
    </a:solidFill>
    <a:ln w="9525" cap="flat" cmpd="sng" algn="ctr">
      <a:solidFill>
        <a:schemeClr val="dk1">
          <a:lumMod val="15000"/>
          <a:lumOff val="85000"/>
        </a:schemeClr>
      </a:solidFill>
      <a:round/>
    </a:ln>
    <a:effectLst/>
  </c:spPr>
  <c:txPr>
    <a:bodyPr/>
    <a:lstStyle/>
    <a:p>
      <a:pPr>
        <a:defRPr/>
      </a:pPr>
      <a:endParaRPr lang="nl-NL"/>
    </a:p>
  </c:txPr>
  <c:printSettings>
    <c:headerFooter/>
    <c:pageMargins b="0.75000000000000155" l="0.70000000000000062" r="0.70000000000000062" t="0.7500000000000015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0" i="0" u="none" strike="noStrike" kern="1200" baseline="0">
                <a:solidFill>
                  <a:sysClr val="windowText" lastClr="000000"/>
                </a:solidFill>
                <a:effectLst/>
                <a:latin typeface="+mn-lt"/>
                <a:ea typeface="+mn-ea"/>
                <a:cs typeface="+mn-cs"/>
              </a:defRPr>
            </a:pPr>
            <a:r>
              <a:rPr lang="nl-NL">
                <a:solidFill>
                  <a:sysClr val="windowText" lastClr="000000"/>
                </a:solidFill>
              </a:rPr>
              <a:t>Hoe</a:t>
            </a:r>
            <a:r>
              <a:rPr lang="nl-NL" baseline="0">
                <a:solidFill>
                  <a:sysClr val="windowText" lastClr="000000"/>
                </a:solidFill>
              </a:rPr>
              <a:t> wordt digitaal gebruik gemeten? (n=42)</a:t>
            </a:r>
            <a:endParaRPr lang="nl-NL">
              <a:solidFill>
                <a:sysClr val="windowText" lastClr="000000"/>
              </a:solidFill>
            </a:endParaRPr>
          </a:p>
        </c:rich>
      </c:tx>
      <c:overlay val="0"/>
      <c:spPr>
        <a:noFill/>
        <a:ln>
          <a:noFill/>
        </a:ln>
        <a:effectLst/>
      </c:spPr>
    </c:title>
    <c:autoTitleDeleted val="0"/>
    <c:plotArea>
      <c:layout/>
      <c:barChart>
        <c:barDir val="bar"/>
        <c:grouping val="clustered"/>
        <c:varyColors val="0"/>
        <c:ser>
          <c:idx val="0"/>
          <c:order val="0"/>
          <c:spPr>
            <a:gradFill>
              <a:gsLst>
                <a:gs pos="0">
                  <a:schemeClr val="accent1"/>
                </a:gs>
                <a:gs pos="100000">
                  <a:schemeClr val="accent1">
                    <a:lumMod val="84000"/>
                  </a:schemeClr>
                </a:gs>
              </a:gsLst>
              <a:lin ang="5400000" scaled="1"/>
            </a:gradFill>
            <a:ln>
              <a:noFill/>
            </a:ln>
            <a:effectLst>
              <a:outerShdw blurRad="76200" dir="18900000" sy="23000" kx="-1200000" algn="bl" rotWithShape="0">
                <a:prstClr val="black">
                  <a:alpha val="2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nl-NL"/>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Gebruiksstatistieken!$N$24:$N$31</c:f>
              <c:strCache>
                <c:ptCount val="8"/>
                <c:pt idx="0">
                  <c:v>Statistieken van Europeana (Dashboard)</c:v>
                </c:pt>
                <c:pt idx="1">
                  <c:v>Overige, namelijk</c:v>
                </c:pt>
                <c:pt idx="2">
                  <c:v>Statistieken van Wikipedia/Wikimedia</c:v>
                </c:pt>
                <c:pt idx="3">
                  <c:v>Statistieken van (nationale) aggregatoren</c:v>
                </c:pt>
                <c:pt idx="4">
                  <c:v>Database statistieken</c:v>
                </c:pt>
                <c:pt idx="5">
                  <c:v>Gebruikersonderzoek</c:v>
                </c:pt>
                <c:pt idx="6">
                  <c:v>Sociale media statistieken</c:v>
                </c:pt>
                <c:pt idx="7">
                  <c:v>Website statistieken</c:v>
                </c:pt>
              </c:strCache>
            </c:strRef>
          </c:cat>
          <c:val>
            <c:numRef>
              <c:f>Gebruiksstatistieken!$O$24:$O$31</c:f>
              <c:numCache>
                <c:formatCode>0.0%</c:formatCode>
                <c:ptCount val="8"/>
                <c:pt idx="0">
                  <c:v>4.7619047619047616E-2</c:v>
                </c:pt>
                <c:pt idx="1">
                  <c:v>7.1428571428571425E-2</c:v>
                </c:pt>
                <c:pt idx="2">
                  <c:v>9.5238095238095233E-2</c:v>
                </c:pt>
                <c:pt idx="3">
                  <c:v>0.26190476190476192</c:v>
                </c:pt>
                <c:pt idx="4">
                  <c:v>0.33333333333333331</c:v>
                </c:pt>
                <c:pt idx="5">
                  <c:v>0.40476190476190477</c:v>
                </c:pt>
                <c:pt idx="6">
                  <c:v>0.47619047619047616</c:v>
                </c:pt>
                <c:pt idx="7">
                  <c:v>0.97619047619047616</c:v>
                </c:pt>
              </c:numCache>
            </c:numRef>
          </c:val>
          <c:extLst xmlns:c16r2="http://schemas.microsoft.com/office/drawing/2015/06/chart">
            <c:ext xmlns:c16="http://schemas.microsoft.com/office/drawing/2014/chart" uri="{C3380CC4-5D6E-409C-BE32-E72D297353CC}">
              <c16:uniqueId val="{00000000-1C9C-42B1-9AB6-F69698F3054D}"/>
            </c:ext>
          </c:extLst>
        </c:ser>
        <c:dLbls>
          <c:showLegendKey val="0"/>
          <c:showVal val="1"/>
          <c:showCatName val="0"/>
          <c:showSerName val="0"/>
          <c:showPercent val="0"/>
          <c:showBubbleSize val="0"/>
        </c:dLbls>
        <c:gapWidth val="41"/>
        <c:axId val="103730560"/>
        <c:axId val="104089856"/>
      </c:barChart>
      <c:catAx>
        <c:axId val="10373056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effectLst/>
                <a:latin typeface="+mn-lt"/>
                <a:ea typeface="+mn-ea"/>
                <a:cs typeface="+mn-cs"/>
              </a:defRPr>
            </a:pPr>
            <a:endParaRPr lang="nl-NL"/>
          </a:p>
        </c:txPr>
        <c:crossAx val="104089856"/>
        <c:crosses val="autoZero"/>
        <c:auto val="1"/>
        <c:lblAlgn val="ctr"/>
        <c:lblOffset val="100"/>
        <c:noMultiLvlLbl val="0"/>
      </c:catAx>
      <c:valAx>
        <c:axId val="104089856"/>
        <c:scaling>
          <c:orientation val="minMax"/>
        </c:scaling>
        <c:delete val="1"/>
        <c:axPos val="b"/>
        <c:numFmt formatCode="0.0%" sourceLinked="1"/>
        <c:majorTickMark val="none"/>
        <c:minorTickMark val="none"/>
        <c:tickLblPos val="none"/>
        <c:crossAx val="1037305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dk1">
          <a:lumMod val="15000"/>
          <a:lumOff val="85000"/>
        </a:schemeClr>
      </a:solidFill>
      <a:round/>
    </a:ln>
    <a:effectLst/>
  </c:spPr>
  <c:txPr>
    <a:bodyPr/>
    <a:lstStyle/>
    <a:p>
      <a:pPr>
        <a:defRPr/>
      </a:pPr>
      <a:endParaRPr lang="nl-NL"/>
    </a:p>
  </c:txPr>
  <c:printSettings>
    <c:headerFooter/>
    <c:pageMargins b="0.75000000000000155" l="0.70000000000000062" r="0.70000000000000062" t="0.75000000000000155"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nl-NL" sz="1800" b="1" i="0" baseline="0">
                <a:effectLst/>
              </a:rPr>
              <a:t>Zijn de digitale collecties </a:t>
            </a:r>
          </a:p>
          <a:p>
            <a:pPr>
              <a:defRPr sz="1600" b="1" i="0" u="none" strike="noStrike" kern="1200" baseline="0">
                <a:solidFill>
                  <a:schemeClr val="tx2"/>
                </a:solidFill>
                <a:latin typeface="+mn-lt"/>
                <a:ea typeface="+mn-ea"/>
                <a:cs typeface="+mn-cs"/>
              </a:defRPr>
            </a:pPr>
            <a:r>
              <a:rPr lang="nl-NL" sz="1800" b="1" i="0" baseline="0">
                <a:effectLst/>
              </a:rPr>
              <a:t>duurzaam opgeslagen? (n=79)</a:t>
            </a:r>
            <a:endParaRPr lang="nl-NL">
              <a:effectLst/>
            </a:endParaRPr>
          </a:p>
        </c:rich>
      </c:tx>
      <c:layout/>
      <c:overlay val="0"/>
      <c:spPr>
        <a:noFill/>
        <a:ln>
          <a:noFill/>
        </a:ln>
        <a:effectLst/>
      </c:sp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0-A1EB-4505-861B-67C1882C7B1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1-A1EB-4505-861B-67C1882C7B1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2-A1EB-4505-861B-67C1882C7B16}"/>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3-A1EB-4505-861B-67C1882C7B1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nl-NL"/>
              </a:p>
            </c:tx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15:layout/>
              </c:ext>
            </c:extLst>
          </c:dLbls>
          <c:cat>
            <c:strRef>
              <c:f>'Digitaal depot'!$C$4:$C$7</c:f>
              <c:strCache>
                <c:ptCount val="4"/>
                <c:pt idx="0">
                  <c:v>ja, in een eigen e-depot</c:v>
                </c:pt>
                <c:pt idx="1">
                  <c:v>ja, in een publiek digitaal archief</c:v>
                </c:pt>
                <c:pt idx="2">
                  <c:v>ja, in een privaat digitaal archief</c:v>
                </c:pt>
                <c:pt idx="3">
                  <c:v>nee, er is nog geen duurzame oplossing</c:v>
                </c:pt>
              </c:strCache>
            </c:strRef>
          </c:cat>
          <c:val>
            <c:numRef>
              <c:f>'Digitaal depot'!$D$4:$D$7</c:f>
              <c:numCache>
                <c:formatCode>0.0%</c:formatCode>
                <c:ptCount val="4"/>
                <c:pt idx="0">
                  <c:v>0.10227272727272728</c:v>
                </c:pt>
                <c:pt idx="1">
                  <c:v>0.11363636363636363</c:v>
                </c:pt>
                <c:pt idx="2">
                  <c:v>9.0909090909090912E-2</c:v>
                </c:pt>
                <c:pt idx="3">
                  <c:v>0.59090909090909094</c:v>
                </c:pt>
              </c:numCache>
            </c:numRef>
          </c:val>
          <c:extLst xmlns:c16r2="http://schemas.microsoft.com/office/drawing/2015/06/chart">
            <c:ext xmlns:c16="http://schemas.microsoft.com/office/drawing/2014/chart" uri="{C3380CC4-5D6E-409C-BE32-E72D297353CC}">
              <c16:uniqueId val="{00000000-16A7-4576-AABA-F01DFBE3B82E}"/>
            </c:ext>
          </c:extLst>
        </c:ser>
        <c:dLbls>
          <c:showLegendKey val="0"/>
          <c:showVal val="0"/>
          <c:showCatName val="0"/>
          <c:showSerName val="0"/>
          <c:showPercent val="1"/>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nl-NL"/>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nl-NL"/>
    </a:p>
  </c:txPr>
  <c:printSettings>
    <c:headerFooter/>
    <c:pageMargins b="0.75000000000000155" l="0.70000000000000062" r="0.70000000000000062" t="0.7500000000000015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nl-NL" sz="1800" b="1" i="0" baseline="0">
                <a:solidFill>
                  <a:sysClr val="windowText" lastClr="000000"/>
                </a:solidFill>
                <a:effectLst/>
              </a:rPr>
              <a:t>Zijn de digitale collecties </a:t>
            </a:r>
            <a:endParaRPr lang="nl-NL">
              <a:solidFill>
                <a:sysClr val="windowText" lastClr="000000"/>
              </a:solidFill>
              <a:effectLst/>
            </a:endParaRPr>
          </a:p>
          <a:p>
            <a:pPr>
              <a:defRPr sz="1400" b="0" i="0" u="none" strike="noStrike" kern="1200" spc="0" baseline="0">
                <a:solidFill>
                  <a:sysClr val="windowText" lastClr="000000"/>
                </a:solidFill>
                <a:latin typeface="+mn-lt"/>
                <a:ea typeface="+mn-ea"/>
                <a:cs typeface="+mn-cs"/>
              </a:defRPr>
            </a:pPr>
            <a:r>
              <a:rPr lang="nl-NL" sz="1800" b="1" i="0" baseline="0">
                <a:solidFill>
                  <a:sysClr val="windowText" lastClr="000000"/>
                </a:solidFill>
                <a:effectLst/>
              </a:rPr>
              <a:t>duurzaam opgeslagen? (per domein, n=79)</a:t>
            </a:r>
            <a:endParaRPr lang="nl-NL">
              <a:solidFill>
                <a:sysClr val="windowText" lastClr="000000"/>
              </a:solidFill>
              <a:effectLst/>
            </a:endParaRPr>
          </a:p>
        </c:rich>
      </c:tx>
      <c:overlay val="0"/>
      <c:spPr>
        <a:noFill/>
        <a:ln>
          <a:noFill/>
        </a:ln>
        <a:effectLst/>
      </c:spPr>
    </c:title>
    <c:autoTitleDeleted val="0"/>
    <c:plotArea>
      <c:layout/>
      <c:barChart>
        <c:barDir val="bar"/>
        <c:grouping val="clustered"/>
        <c:varyColors val="0"/>
        <c:ser>
          <c:idx val="0"/>
          <c:order val="0"/>
          <c:tx>
            <c:strRef>
              <c:f>'Digitaal depot'!$D$36</c:f>
              <c:strCache>
                <c:ptCount val="1"/>
                <c:pt idx="0">
                  <c:v>nee, er is nog geen duurzame oplossing</c:v>
                </c:pt>
              </c:strCache>
            </c:strRef>
          </c:tx>
          <c:spPr>
            <a:solidFill>
              <a:schemeClr val="accent1"/>
            </a:solidFill>
            <a:ln>
              <a:noFill/>
            </a:ln>
            <a:effectLst/>
          </c:spPr>
          <c:invertIfNegative val="0"/>
          <c:cat>
            <c:strRef>
              <c:f>'Digitaal depot'!$C$37:$C$40</c:f>
              <c:strCache>
                <c:ptCount val="4"/>
                <c:pt idx="0">
                  <c:v>Overig (n=9)</c:v>
                </c:pt>
                <c:pt idx="1">
                  <c:v>Bibliotheken (n=5)</c:v>
                </c:pt>
                <c:pt idx="2">
                  <c:v>Musea (n=39)</c:v>
                </c:pt>
                <c:pt idx="3">
                  <c:v>Archieven (n=26)</c:v>
                </c:pt>
              </c:strCache>
            </c:strRef>
          </c:cat>
          <c:val>
            <c:numRef>
              <c:f>'Digitaal depot'!$D$37:$D$40</c:f>
              <c:numCache>
                <c:formatCode>0%</c:formatCode>
                <c:ptCount val="4"/>
                <c:pt idx="0">
                  <c:v>-0.33333333333333331</c:v>
                </c:pt>
                <c:pt idx="1">
                  <c:v>-0.4</c:v>
                </c:pt>
                <c:pt idx="2">
                  <c:v>-0.76923076923076927</c:v>
                </c:pt>
                <c:pt idx="3">
                  <c:v>-0.65384615384615385</c:v>
                </c:pt>
              </c:numCache>
            </c:numRef>
          </c:val>
          <c:extLst xmlns:c16r2="http://schemas.microsoft.com/office/drawing/2015/06/chart">
            <c:ext xmlns:c16="http://schemas.microsoft.com/office/drawing/2014/chart" uri="{C3380CC4-5D6E-409C-BE32-E72D297353CC}">
              <c16:uniqueId val="{00000000-70C1-4F1F-AA02-2C85FB14561E}"/>
            </c:ext>
          </c:extLst>
        </c:ser>
        <c:ser>
          <c:idx val="1"/>
          <c:order val="1"/>
          <c:tx>
            <c:strRef>
              <c:f>'Digitaal depot'!$E$36</c:f>
              <c:strCache>
                <c:ptCount val="1"/>
                <c:pt idx="0">
                  <c:v>ja, in een privaat digitaal archief</c:v>
                </c:pt>
              </c:strCache>
            </c:strRef>
          </c:tx>
          <c:spPr>
            <a:solidFill>
              <a:schemeClr val="accent2"/>
            </a:solidFill>
            <a:ln>
              <a:noFill/>
            </a:ln>
            <a:effectLst/>
          </c:spPr>
          <c:invertIfNegative val="0"/>
          <c:cat>
            <c:strRef>
              <c:f>'Digitaal depot'!$C$37:$C$40</c:f>
              <c:strCache>
                <c:ptCount val="4"/>
                <c:pt idx="0">
                  <c:v>Overig (n=9)</c:v>
                </c:pt>
                <c:pt idx="1">
                  <c:v>Bibliotheken (n=5)</c:v>
                </c:pt>
                <c:pt idx="2">
                  <c:v>Musea (n=39)</c:v>
                </c:pt>
                <c:pt idx="3">
                  <c:v>Archieven (n=26)</c:v>
                </c:pt>
              </c:strCache>
            </c:strRef>
          </c:cat>
          <c:val>
            <c:numRef>
              <c:f>'Digitaal depot'!$E$37:$E$40</c:f>
              <c:numCache>
                <c:formatCode>0%</c:formatCode>
                <c:ptCount val="4"/>
                <c:pt idx="0">
                  <c:v>0.33333333333333331</c:v>
                </c:pt>
                <c:pt idx="1">
                  <c:v>0</c:v>
                </c:pt>
                <c:pt idx="2">
                  <c:v>0.10256410256410256</c:v>
                </c:pt>
                <c:pt idx="3">
                  <c:v>3.8461538461538464E-2</c:v>
                </c:pt>
              </c:numCache>
            </c:numRef>
          </c:val>
          <c:extLst xmlns:c16r2="http://schemas.microsoft.com/office/drawing/2015/06/chart">
            <c:ext xmlns:c16="http://schemas.microsoft.com/office/drawing/2014/chart" uri="{C3380CC4-5D6E-409C-BE32-E72D297353CC}">
              <c16:uniqueId val="{00000001-70C1-4F1F-AA02-2C85FB14561E}"/>
            </c:ext>
          </c:extLst>
        </c:ser>
        <c:ser>
          <c:idx val="2"/>
          <c:order val="2"/>
          <c:tx>
            <c:strRef>
              <c:f>'Digitaal depot'!$F$36</c:f>
              <c:strCache>
                <c:ptCount val="1"/>
                <c:pt idx="0">
                  <c:v>ja, in een publiek digitaal archief</c:v>
                </c:pt>
              </c:strCache>
            </c:strRef>
          </c:tx>
          <c:spPr>
            <a:solidFill>
              <a:schemeClr val="accent3"/>
            </a:solidFill>
            <a:ln>
              <a:noFill/>
            </a:ln>
            <a:effectLst/>
          </c:spPr>
          <c:invertIfNegative val="0"/>
          <c:cat>
            <c:strRef>
              <c:f>'Digitaal depot'!$C$37:$C$40</c:f>
              <c:strCache>
                <c:ptCount val="4"/>
                <c:pt idx="0">
                  <c:v>Overig (n=9)</c:v>
                </c:pt>
                <c:pt idx="1">
                  <c:v>Bibliotheken (n=5)</c:v>
                </c:pt>
                <c:pt idx="2">
                  <c:v>Musea (n=39)</c:v>
                </c:pt>
                <c:pt idx="3">
                  <c:v>Archieven (n=26)</c:v>
                </c:pt>
              </c:strCache>
            </c:strRef>
          </c:cat>
          <c:val>
            <c:numRef>
              <c:f>'Digitaal depot'!$F$37:$F$40</c:f>
              <c:numCache>
                <c:formatCode>0%</c:formatCode>
                <c:ptCount val="4"/>
                <c:pt idx="0">
                  <c:v>0.1111111111111111</c:v>
                </c:pt>
                <c:pt idx="1">
                  <c:v>0.2</c:v>
                </c:pt>
                <c:pt idx="2">
                  <c:v>0.10256410256410256</c:v>
                </c:pt>
                <c:pt idx="3">
                  <c:v>0.15384615384615385</c:v>
                </c:pt>
              </c:numCache>
            </c:numRef>
          </c:val>
          <c:extLst xmlns:c16r2="http://schemas.microsoft.com/office/drawing/2015/06/chart">
            <c:ext xmlns:c16="http://schemas.microsoft.com/office/drawing/2014/chart" uri="{C3380CC4-5D6E-409C-BE32-E72D297353CC}">
              <c16:uniqueId val="{00000002-70C1-4F1F-AA02-2C85FB14561E}"/>
            </c:ext>
          </c:extLst>
        </c:ser>
        <c:ser>
          <c:idx val="3"/>
          <c:order val="3"/>
          <c:tx>
            <c:strRef>
              <c:f>'Digitaal depot'!$G$36</c:f>
              <c:strCache>
                <c:ptCount val="1"/>
                <c:pt idx="0">
                  <c:v>ja, in een eigen e-depot</c:v>
                </c:pt>
              </c:strCache>
            </c:strRef>
          </c:tx>
          <c:spPr>
            <a:solidFill>
              <a:schemeClr val="accent4"/>
            </a:solidFill>
            <a:ln>
              <a:noFill/>
            </a:ln>
            <a:effectLst/>
          </c:spPr>
          <c:invertIfNegative val="0"/>
          <c:cat>
            <c:strRef>
              <c:f>'Digitaal depot'!$C$37:$C$40</c:f>
              <c:strCache>
                <c:ptCount val="4"/>
                <c:pt idx="0">
                  <c:v>Overig (n=9)</c:v>
                </c:pt>
                <c:pt idx="1">
                  <c:v>Bibliotheken (n=5)</c:v>
                </c:pt>
                <c:pt idx="2">
                  <c:v>Musea (n=39)</c:v>
                </c:pt>
                <c:pt idx="3">
                  <c:v>Archieven (n=26)</c:v>
                </c:pt>
              </c:strCache>
            </c:strRef>
          </c:cat>
          <c:val>
            <c:numRef>
              <c:f>'Digitaal depot'!$G$37:$G$40</c:f>
              <c:numCache>
                <c:formatCode>0%</c:formatCode>
                <c:ptCount val="4"/>
                <c:pt idx="0">
                  <c:v>0.22222222222222221</c:v>
                </c:pt>
                <c:pt idx="1">
                  <c:v>0.4</c:v>
                </c:pt>
                <c:pt idx="2">
                  <c:v>2.564102564102564E-2</c:v>
                </c:pt>
                <c:pt idx="3">
                  <c:v>0.15384615384615385</c:v>
                </c:pt>
              </c:numCache>
            </c:numRef>
          </c:val>
          <c:extLst xmlns:c16r2="http://schemas.microsoft.com/office/drawing/2015/06/chart">
            <c:ext xmlns:c16="http://schemas.microsoft.com/office/drawing/2014/chart" uri="{C3380CC4-5D6E-409C-BE32-E72D297353CC}">
              <c16:uniqueId val="{00000003-70C1-4F1F-AA02-2C85FB14561E}"/>
            </c:ext>
          </c:extLst>
        </c:ser>
        <c:dLbls>
          <c:showLegendKey val="0"/>
          <c:showVal val="0"/>
          <c:showCatName val="0"/>
          <c:showSerName val="0"/>
          <c:showPercent val="0"/>
          <c:showBubbleSize val="0"/>
        </c:dLbls>
        <c:gapWidth val="182"/>
        <c:axId val="103957632"/>
        <c:axId val="103959168"/>
      </c:barChart>
      <c:catAx>
        <c:axId val="103957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103959168"/>
        <c:crosses val="autoZero"/>
        <c:auto val="1"/>
        <c:lblAlgn val="ctr"/>
        <c:lblOffset val="100"/>
        <c:noMultiLvlLbl val="0"/>
      </c:catAx>
      <c:valAx>
        <c:axId val="1039591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3957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000000000000056" l="0.70000000000000051" r="0.70000000000000051" t="0.75000000000000056" header="0.30000000000000027" footer="0.30000000000000027"/>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ysClr val="windowText" lastClr="000000"/>
                </a:solidFill>
                <a:latin typeface="+mn-lt"/>
                <a:ea typeface="+mn-ea"/>
                <a:cs typeface="+mn-cs"/>
              </a:defRPr>
            </a:pPr>
            <a:r>
              <a:rPr lang="nl-NL" sz="1800" b="0" i="0" u="none" strike="noStrike" baseline="0">
                <a:solidFill>
                  <a:sysClr val="windowText" lastClr="000000"/>
                </a:solidFill>
                <a:effectLst/>
              </a:rPr>
              <a:t>Uitgaven aan digitale collecties </a:t>
            </a:r>
          </a:p>
          <a:p>
            <a:pPr>
              <a:defRPr sz="1800" b="0" i="0" u="none" strike="noStrike" kern="1200" spc="0" baseline="0">
                <a:solidFill>
                  <a:sysClr val="windowText" lastClr="000000"/>
                </a:solidFill>
                <a:latin typeface="+mn-lt"/>
                <a:ea typeface="+mn-ea"/>
                <a:cs typeface="+mn-cs"/>
              </a:defRPr>
            </a:pPr>
            <a:r>
              <a:rPr lang="nl-NL" sz="1800" b="0" i="0" u="none" strike="noStrike" baseline="0">
                <a:solidFill>
                  <a:sysClr val="windowText" lastClr="000000"/>
                </a:solidFill>
                <a:effectLst/>
              </a:rPr>
              <a:t>(2016/2017) (n=68)</a:t>
            </a:r>
            <a:endParaRPr lang="nl-NL" sz="1800">
              <a:solidFill>
                <a:sysClr val="windowText" lastClr="000000"/>
              </a:solidFill>
            </a:endParaRPr>
          </a:p>
        </c:rich>
      </c:tx>
      <c:layout/>
      <c:overlay val="0"/>
      <c:spPr>
        <a:noFill/>
        <a:ln>
          <a:noFill/>
        </a:ln>
        <a:effectLst/>
      </c:spPr>
    </c:title>
    <c:autoTitleDeleted val="0"/>
    <c:plotArea>
      <c:layout/>
      <c:barChart>
        <c:barDir val="col"/>
        <c:grouping val="stacked"/>
        <c:varyColors val="0"/>
        <c:ser>
          <c:idx val="0"/>
          <c:order val="0"/>
          <c:tx>
            <c:strRef>
              <c:f>Uitgaven!$J$5</c:f>
              <c:strCache>
                <c:ptCount val="1"/>
                <c:pt idx="0">
                  <c:v>Intern budget</c:v>
                </c:pt>
              </c:strCache>
            </c:strRef>
          </c:tx>
          <c:spPr>
            <a:solidFill>
              <a:schemeClr val="accent1"/>
            </a:solidFill>
            <a:ln>
              <a:noFill/>
            </a:ln>
            <a:effectLst/>
          </c:spPr>
          <c:invertIfNegative val="0"/>
          <c:cat>
            <c:strRef>
              <c:f>Uitgaven!$I$6:$I$8</c:f>
              <c:strCache>
                <c:ptCount val="3"/>
                <c:pt idx="0">
                  <c:v>Gemiddeld</c:v>
                </c:pt>
                <c:pt idx="1">
                  <c:v>Gemiddeld (zonder uitschieter)</c:v>
                </c:pt>
                <c:pt idx="2">
                  <c:v>Mediaan</c:v>
                </c:pt>
              </c:strCache>
            </c:strRef>
          </c:cat>
          <c:val>
            <c:numRef>
              <c:f>Uitgaven!$J$6:$J$8</c:f>
              <c:numCache>
                <c:formatCode>_("€"* #,##0_);_("€"* \(#,##0\);_("€"* "-"_);_(@_)</c:formatCode>
                <c:ptCount val="3"/>
                <c:pt idx="0">
                  <c:v>901926.1323529412</c:v>
                </c:pt>
                <c:pt idx="1">
                  <c:v>243745.92537313432</c:v>
                </c:pt>
                <c:pt idx="2">
                  <c:v>15000</c:v>
                </c:pt>
              </c:numCache>
            </c:numRef>
          </c:val>
          <c:extLst xmlns:c16r2="http://schemas.microsoft.com/office/drawing/2015/06/chart">
            <c:ext xmlns:c16="http://schemas.microsoft.com/office/drawing/2014/chart" uri="{C3380CC4-5D6E-409C-BE32-E72D297353CC}">
              <c16:uniqueId val="{00000000-BC83-425E-BFD7-3078D1FCA07E}"/>
            </c:ext>
          </c:extLst>
        </c:ser>
        <c:ser>
          <c:idx val="1"/>
          <c:order val="1"/>
          <c:tx>
            <c:strRef>
              <c:f>Uitgaven!$K$5</c:f>
              <c:strCache>
                <c:ptCount val="1"/>
                <c:pt idx="0">
                  <c:v>Tijdelijk extern budget</c:v>
                </c:pt>
              </c:strCache>
            </c:strRef>
          </c:tx>
          <c:spPr>
            <a:solidFill>
              <a:schemeClr val="accent2"/>
            </a:solidFill>
            <a:ln>
              <a:noFill/>
            </a:ln>
            <a:effectLst/>
          </c:spPr>
          <c:invertIfNegative val="0"/>
          <c:cat>
            <c:strRef>
              <c:f>Uitgaven!$I$6:$I$8</c:f>
              <c:strCache>
                <c:ptCount val="3"/>
                <c:pt idx="0">
                  <c:v>Gemiddeld</c:v>
                </c:pt>
                <c:pt idx="1">
                  <c:v>Gemiddeld (zonder uitschieter)</c:v>
                </c:pt>
                <c:pt idx="2">
                  <c:v>Mediaan</c:v>
                </c:pt>
              </c:strCache>
            </c:strRef>
          </c:cat>
          <c:val>
            <c:numRef>
              <c:f>Uitgaven!$K$6:$K$8</c:f>
              <c:numCache>
                <c:formatCode>_("€"* #,##0_);_("€"* \(#,##0\);_("€"* "-"_);_(@_)</c:formatCode>
                <c:ptCount val="3"/>
                <c:pt idx="0">
                  <c:v>366497.29166666669</c:v>
                </c:pt>
                <c:pt idx="1">
                  <c:v>55146.170212765959</c:v>
                </c:pt>
                <c:pt idx="2">
                  <c:v>13500</c:v>
                </c:pt>
              </c:numCache>
            </c:numRef>
          </c:val>
          <c:extLst xmlns:c16r2="http://schemas.microsoft.com/office/drawing/2015/06/chart">
            <c:ext xmlns:c16="http://schemas.microsoft.com/office/drawing/2014/chart" uri="{C3380CC4-5D6E-409C-BE32-E72D297353CC}">
              <c16:uniqueId val="{00000001-BC83-425E-BFD7-3078D1FCA07E}"/>
            </c:ext>
          </c:extLst>
        </c:ser>
        <c:dLbls>
          <c:showLegendKey val="0"/>
          <c:showVal val="0"/>
          <c:showCatName val="0"/>
          <c:showSerName val="0"/>
          <c:showPercent val="0"/>
          <c:showBubbleSize val="0"/>
        </c:dLbls>
        <c:gapWidth val="150"/>
        <c:overlap val="100"/>
        <c:axId val="104002304"/>
        <c:axId val="104003840"/>
      </c:barChart>
      <c:catAx>
        <c:axId val="10400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104003840"/>
        <c:crosses val="autoZero"/>
        <c:auto val="1"/>
        <c:lblAlgn val="ctr"/>
        <c:lblOffset val="100"/>
        <c:noMultiLvlLbl val="0"/>
      </c:catAx>
      <c:valAx>
        <c:axId val="10400384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1040023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000000000000155" l="0.70000000000000062" r="0.70000000000000062" t="0.7500000000000015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800" b="1" i="0" baseline="0">
                <a:effectLst/>
              </a:rPr>
              <a:t>Aard van kosten voor digitale collecties (n=68)</a:t>
            </a:r>
            <a:endParaRPr lang="nl-NL">
              <a:effectLst/>
            </a:endParaRPr>
          </a:p>
        </c:rich>
      </c:tx>
      <c:layout/>
      <c:overlay val="0"/>
      <c:spPr>
        <a:noFill/>
        <a:ln>
          <a:noFill/>
        </a:ln>
        <a:effectLst/>
      </c:spPr>
    </c:title>
    <c:autoTitleDeleted val="0"/>
    <c:plotArea>
      <c:layout/>
      <c:barChart>
        <c:barDir val="bar"/>
        <c:grouping val="percentStacked"/>
        <c:varyColors val="0"/>
        <c:ser>
          <c:idx val="0"/>
          <c:order val="0"/>
          <c:tx>
            <c:strRef>
              <c:f>Kosten!$G$5</c:f>
              <c:strCache>
                <c:ptCount val="1"/>
                <c:pt idx="0">
                  <c:v>Incidenteel</c:v>
                </c:pt>
              </c:strCache>
            </c:strRef>
          </c:tx>
          <c:spPr>
            <a:solidFill>
              <a:schemeClr val="accent1"/>
            </a:solidFill>
            <a:ln>
              <a:noFill/>
            </a:ln>
            <a:effectLst/>
          </c:spPr>
          <c:invertIfNegative val="0"/>
          <c:cat>
            <c:strRef>
              <c:f>Kosten!$F$6:$F$10</c:f>
              <c:strCache>
                <c:ptCount val="5"/>
                <c:pt idx="0">
                  <c:v>Overig (n=5)</c:v>
                </c:pt>
                <c:pt idx="1">
                  <c:v>Musea (n=38)</c:v>
                </c:pt>
                <c:pt idx="2">
                  <c:v>Bibliotheken (n=3)</c:v>
                </c:pt>
                <c:pt idx="3">
                  <c:v>Archieven (n=22)</c:v>
                </c:pt>
                <c:pt idx="4">
                  <c:v>Totaal (n=68)</c:v>
                </c:pt>
              </c:strCache>
            </c:strRef>
          </c:cat>
          <c:val>
            <c:numRef>
              <c:f>Kosten!$G$6:$G$10</c:f>
              <c:numCache>
                <c:formatCode>0</c:formatCode>
                <c:ptCount val="5"/>
                <c:pt idx="0">
                  <c:v>33</c:v>
                </c:pt>
                <c:pt idx="1">
                  <c:v>35.657894736842103</c:v>
                </c:pt>
                <c:pt idx="2">
                  <c:v>46.666666666666664</c:v>
                </c:pt>
                <c:pt idx="3">
                  <c:v>29.545454545454547</c:v>
                </c:pt>
                <c:pt idx="4">
                  <c:v>33.970588235294116</c:v>
                </c:pt>
              </c:numCache>
            </c:numRef>
          </c:val>
          <c:extLst xmlns:c16r2="http://schemas.microsoft.com/office/drawing/2015/06/chart">
            <c:ext xmlns:c16="http://schemas.microsoft.com/office/drawing/2014/chart" uri="{C3380CC4-5D6E-409C-BE32-E72D297353CC}">
              <c16:uniqueId val="{00000000-C2DC-4607-A7CA-F6AB01C91D09}"/>
            </c:ext>
          </c:extLst>
        </c:ser>
        <c:ser>
          <c:idx val="1"/>
          <c:order val="1"/>
          <c:tx>
            <c:strRef>
              <c:f>Kosten!$H$5</c:f>
              <c:strCache>
                <c:ptCount val="1"/>
                <c:pt idx="0">
                  <c:v>Structureel</c:v>
                </c:pt>
              </c:strCache>
            </c:strRef>
          </c:tx>
          <c:spPr>
            <a:solidFill>
              <a:schemeClr val="accent2"/>
            </a:solidFill>
            <a:ln>
              <a:noFill/>
            </a:ln>
            <a:effectLst/>
          </c:spPr>
          <c:invertIfNegative val="0"/>
          <c:cat>
            <c:strRef>
              <c:f>Kosten!$F$6:$F$10</c:f>
              <c:strCache>
                <c:ptCount val="5"/>
                <c:pt idx="0">
                  <c:v>Overig (n=5)</c:v>
                </c:pt>
                <c:pt idx="1">
                  <c:v>Musea (n=38)</c:v>
                </c:pt>
                <c:pt idx="2">
                  <c:v>Bibliotheken (n=3)</c:v>
                </c:pt>
                <c:pt idx="3">
                  <c:v>Archieven (n=22)</c:v>
                </c:pt>
                <c:pt idx="4">
                  <c:v>Totaal (n=68)</c:v>
                </c:pt>
              </c:strCache>
            </c:strRef>
          </c:cat>
          <c:val>
            <c:numRef>
              <c:f>Kosten!$H$6:$H$10</c:f>
              <c:numCache>
                <c:formatCode>0</c:formatCode>
                <c:ptCount val="5"/>
                <c:pt idx="0">
                  <c:v>67</c:v>
                </c:pt>
                <c:pt idx="1">
                  <c:v>64.34210526315789</c:v>
                </c:pt>
                <c:pt idx="2">
                  <c:v>53.333333333333336</c:v>
                </c:pt>
                <c:pt idx="3">
                  <c:v>70.454545454545453</c:v>
                </c:pt>
                <c:pt idx="4">
                  <c:v>66.029411764705884</c:v>
                </c:pt>
              </c:numCache>
            </c:numRef>
          </c:val>
          <c:extLst xmlns:c16r2="http://schemas.microsoft.com/office/drawing/2015/06/chart">
            <c:ext xmlns:c16="http://schemas.microsoft.com/office/drawing/2014/chart" uri="{C3380CC4-5D6E-409C-BE32-E72D297353CC}">
              <c16:uniqueId val="{00000001-C2DC-4607-A7CA-F6AB01C91D09}"/>
            </c:ext>
          </c:extLst>
        </c:ser>
        <c:dLbls>
          <c:showLegendKey val="0"/>
          <c:showVal val="0"/>
          <c:showCatName val="0"/>
          <c:showSerName val="0"/>
          <c:showPercent val="0"/>
          <c:showBubbleSize val="0"/>
        </c:dLbls>
        <c:gapWidth val="150"/>
        <c:overlap val="100"/>
        <c:axId val="104370560"/>
        <c:axId val="104372096"/>
      </c:barChart>
      <c:catAx>
        <c:axId val="1043705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4372096"/>
        <c:crosses val="autoZero"/>
        <c:auto val="1"/>
        <c:lblAlgn val="ctr"/>
        <c:lblOffset val="100"/>
        <c:noMultiLvlLbl val="0"/>
      </c:catAx>
      <c:valAx>
        <c:axId val="1043720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43705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000000000000155" l="0.70000000000000062" r="0.70000000000000062" t="0.7500000000000015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Kostenontwikkeling digitale collecties</a:t>
            </a:r>
          </a:p>
        </c:rich>
      </c:tx>
      <c:layout/>
      <c:overlay val="0"/>
      <c:spPr>
        <a:noFill/>
        <a:ln>
          <a:noFill/>
        </a:ln>
        <a:effectLst/>
      </c:spPr>
    </c:title>
    <c:autoTitleDeleted val="0"/>
    <c:plotArea>
      <c:layout/>
      <c:barChart>
        <c:barDir val="bar"/>
        <c:grouping val="percentStacked"/>
        <c:varyColors val="0"/>
        <c:ser>
          <c:idx val="0"/>
          <c:order val="0"/>
          <c:tx>
            <c:strRef>
              <c:f>Kosten!$F$31</c:f>
              <c:strCache>
                <c:ptCount val="1"/>
                <c:pt idx="0">
                  <c:v>Incidenteel</c:v>
                </c:pt>
              </c:strCache>
            </c:strRef>
          </c:tx>
          <c:spPr>
            <a:solidFill>
              <a:schemeClr val="accent1"/>
            </a:solidFill>
            <a:ln>
              <a:noFill/>
            </a:ln>
            <a:effectLst/>
          </c:spPr>
          <c:invertIfNegative val="0"/>
          <c:cat>
            <c:numRef>
              <c:f>Kosten!$G$30:$I$30</c:f>
              <c:numCache>
                <c:formatCode>General</c:formatCode>
                <c:ptCount val="3"/>
                <c:pt idx="0">
                  <c:v>2013</c:v>
                </c:pt>
                <c:pt idx="1">
                  <c:v>2015</c:v>
                </c:pt>
                <c:pt idx="2">
                  <c:v>2017</c:v>
                </c:pt>
              </c:numCache>
            </c:numRef>
          </c:cat>
          <c:val>
            <c:numRef>
              <c:f>Kosten!$G$31:$I$31</c:f>
              <c:numCache>
                <c:formatCode>General</c:formatCode>
                <c:ptCount val="3"/>
                <c:pt idx="0">
                  <c:v>43</c:v>
                </c:pt>
                <c:pt idx="1">
                  <c:v>40</c:v>
                </c:pt>
                <c:pt idx="2">
                  <c:v>34</c:v>
                </c:pt>
              </c:numCache>
            </c:numRef>
          </c:val>
          <c:extLst xmlns:c16r2="http://schemas.microsoft.com/office/drawing/2015/06/chart">
            <c:ext xmlns:c16="http://schemas.microsoft.com/office/drawing/2014/chart" uri="{C3380CC4-5D6E-409C-BE32-E72D297353CC}">
              <c16:uniqueId val="{00000000-0EBD-4581-ACDA-47F7CB56305B}"/>
            </c:ext>
          </c:extLst>
        </c:ser>
        <c:ser>
          <c:idx val="1"/>
          <c:order val="1"/>
          <c:tx>
            <c:strRef>
              <c:f>Kosten!$F$32</c:f>
              <c:strCache>
                <c:ptCount val="1"/>
                <c:pt idx="0">
                  <c:v>Structureel</c:v>
                </c:pt>
              </c:strCache>
            </c:strRef>
          </c:tx>
          <c:spPr>
            <a:solidFill>
              <a:schemeClr val="accent2"/>
            </a:solidFill>
            <a:ln>
              <a:noFill/>
            </a:ln>
            <a:effectLst/>
          </c:spPr>
          <c:invertIfNegative val="0"/>
          <c:cat>
            <c:numRef>
              <c:f>Kosten!$G$30:$I$30</c:f>
              <c:numCache>
                <c:formatCode>General</c:formatCode>
                <c:ptCount val="3"/>
                <c:pt idx="0">
                  <c:v>2013</c:v>
                </c:pt>
                <c:pt idx="1">
                  <c:v>2015</c:v>
                </c:pt>
                <c:pt idx="2">
                  <c:v>2017</c:v>
                </c:pt>
              </c:numCache>
            </c:numRef>
          </c:cat>
          <c:val>
            <c:numRef>
              <c:f>Kosten!$G$32:$I$32</c:f>
              <c:numCache>
                <c:formatCode>General</c:formatCode>
                <c:ptCount val="3"/>
                <c:pt idx="0">
                  <c:v>57</c:v>
                </c:pt>
                <c:pt idx="1">
                  <c:v>60</c:v>
                </c:pt>
                <c:pt idx="2">
                  <c:v>66</c:v>
                </c:pt>
              </c:numCache>
            </c:numRef>
          </c:val>
          <c:extLst xmlns:c16r2="http://schemas.microsoft.com/office/drawing/2015/06/chart">
            <c:ext xmlns:c16="http://schemas.microsoft.com/office/drawing/2014/chart" uri="{C3380CC4-5D6E-409C-BE32-E72D297353CC}">
              <c16:uniqueId val="{00000001-0EBD-4581-ACDA-47F7CB56305B}"/>
            </c:ext>
          </c:extLst>
        </c:ser>
        <c:dLbls>
          <c:showLegendKey val="0"/>
          <c:showVal val="0"/>
          <c:showCatName val="0"/>
          <c:showSerName val="0"/>
          <c:showPercent val="0"/>
          <c:showBubbleSize val="0"/>
        </c:dLbls>
        <c:gapWidth val="150"/>
        <c:overlap val="100"/>
        <c:axId val="104390016"/>
        <c:axId val="105985152"/>
      </c:barChart>
      <c:catAx>
        <c:axId val="1043900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5985152"/>
        <c:crosses val="autoZero"/>
        <c:auto val="1"/>
        <c:lblAlgn val="ctr"/>
        <c:lblOffset val="100"/>
        <c:noMultiLvlLbl val="0"/>
      </c:catAx>
      <c:valAx>
        <c:axId val="1059851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043900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000000000000155" l="0.70000000000000062" r="0.70000000000000062" t="0.7500000000000015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nl-NL" sz="1800" b="1" i="0" baseline="0">
                <a:solidFill>
                  <a:sysClr val="windowText" lastClr="000000"/>
                </a:solidFill>
                <a:effectLst/>
              </a:rPr>
              <a:t>Besteding van kosten voor digitale collecties (n=68)</a:t>
            </a:r>
            <a:endParaRPr lang="nl-NL">
              <a:solidFill>
                <a:sysClr val="windowText" lastClr="000000"/>
              </a:solidFill>
              <a:effectLst/>
            </a:endParaRP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endParaRPr lang="nl-NL">
              <a:solidFill>
                <a:sysClr val="windowText" lastClr="000000"/>
              </a:solidFill>
            </a:endParaRPr>
          </a:p>
        </c:rich>
      </c:tx>
      <c:layout/>
      <c:overlay val="0"/>
      <c:spPr>
        <a:noFill/>
        <a:ln>
          <a:noFill/>
        </a:ln>
        <a:effectLst/>
      </c:sp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0-71D5-43FD-A4B3-470411906759}"/>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1-71D5-43FD-A4B3-47041190675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nl-NL"/>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Besteding!$F$4:$F$5</c:f>
              <c:strCache>
                <c:ptCount val="2"/>
                <c:pt idx="0">
                  <c:v>% kosten 'in house'</c:v>
                </c:pt>
                <c:pt idx="1">
                  <c:v>% kosten 'outsourced'</c:v>
                </c:pt>
              </c:strCache>
            </c:strRef>
          </c:cat>
          <c:val>
            <c:numRef>
              <c:f>Besteding!$G$4:$G$5</c:f>
              <c:numCache>
                <c:formatCode>0</c:formatCode>
                <c:ptCount val="2"/>
                <c:pt idx="0">
                  <c:v>67.397058823529406</c:v>
                </c:pt>
                <c:pt idx="1">
                  <c:v>32.602941176470587</c:v>
                </c:pt>
              </c:numCache>
            </c:numRef>
          </c:val>
          <c:extLst xmlns:c16r2="http://schemas.microsoft.com/office/drawing/2015/06/chart">
            <c:ext xmlns:c16="http://schemas.microsoft.com/office/drawing/2014/chart" uri="{C3380CC4-5D6E-409C-BE32-E72D297353CC}">
              <c16:uniqueId val="{00000000-ACC0-4EFC-8592-5C45E1B6DD79}"/>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overlay val="0"/>
      <c:txPr>
        <a:bodyPr/>
        <a:lstStyle/>
        <a:p>
          <a:pPr>
            <a:defRPr>
              <a:solidFill>
                <a:sysClr val="windowText" lastClr="000000"/>
              </a:solidFill>
            </a:defRPr>
          </a:pPr>
          <a:endParaRPr lang="nl-NL"/>
        </a:p>
      </c:txPr>
    </c:legend>
    <c:plotVisOnly val="1"/>
    <c:dispBlanksAs val="zero"/>
    <c:showDLblsOverMax val="0"/>
  </c:chart>
  <c:spPr>
    <a:solidFill>
      <a:schemeClr val="bg1"/>
    </a:solidFill>
    <a:ln w="9525" cap="flat" cmpd="sng" algn="ctr">
      <a:solidFill>
        <a:schemeClr val="dk1">
          <a:lumMod val="15000"/>
          <a:lumOff val="85000"/>
        </a:schemeClr>
      </a:solidFill>
      <a:round/>
    </a:ln>
    <a:effectLst/>
  </c:spPr>
  <c:txPr>
    <a:bodyPr/>
    <a:lstStyle/>
    <a:p>
      <a:pPr>
        <a:defRPr/>
      </a:pPr>
      <a:endParaRPr lang="nl-NL"/>
    </a:p>
  </c:txPr>
  <c:printSettings>
    <c:headerFooter/>
    <c:pageMargins b="0.75000000000000155" l="0.70000000000000062" r="0.70000000000000062" t="0.7500000000000015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sz="1800" b="1" i="0" baseline="0"/>
              <a:t>Verdeling incidentele kosten (n=57)</a:t>
            </a:r>
            <a:endParaRPr lang="nl-NL"/>
          </a:p>
        </c:rich>
      </c:tx>
      <c:layout/>
      <c:overlay val="0"/>
    </c:title>
    <c:autoTitleDeleted val="0"/>
    <c:plotArea>
      <c:layout/>
      <c:pieChart>
        <c:varyColors val="1"/>
        <c:ser>
          <c:idx val="0"/>
          <c:order val="0"/>
          <c:dLbls>
            <c:spPr>
              <a:noFill/>
              <a:ln>
                <a:noFill/>
              </a:ln>
              <a:effectLst/>
            </c:sp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15:layout/>
              </c:ext>
            </c:extLst>
          </c:dLbls>
          <c:cat>
            <c:strRef>
              <c:f>'Besteding (2)'!$M$4:$M$12</c:f>
              <c:strCache>
                <c:ptCount val="9"/>
                <c:pt idx="0">
                  <c:v>Conversie van analoog naar digitaal</c:v>
                </c:pt>
                <c:pt idx="1">
                  <c:v>Web design, software ontwikkeling</c:v>
                </c:pt>
                <c:pt idx="2">
                  <c:v>Metadata aanmaak en verbetering</c:v>
                </c:pt>
                <c:pt idx="3">
                  <c:v>Project management</c:v>
                </c:pt>
                <c:pt idx="4">
                  <c:v>Selectie van erfgoedmateriaal voor de digitale collecties</c:v>
                </c:pt>
                <c:pt idx="5">
                  <c:v>Logistiek (transport e.d.)</c:v>
                </c:pt>
                <c:pt idx="6">
                  <c:v>Copyright regelingen</c:v>
                </c:pt>
                <c:pt idx="7">
                  <c:v>Acquisitie van born digital erfgoedmateriaal</c:v>
                </c:pt>
                <c:pt idx="8">
                  <c:v>Overige kosten</c:v>
                </c:pt>
              </c:strCache>
            </c:strRef>
          </c:cat>
          <c:val>
            <c:numRef>
              <c:f>'Besteding (2)'!$N$4:$N$12</c:f>
              <c:numCache>
                <c:formatCode>0</c:formatCode>
                <c:ptCount val="9"/>
                <c:pt idx="0">
                  <c:v>40.94736842105263</c:v>
                </c:pt>
                <c:pt idx="1">
                  <c:v>16.228070175438596</c:v>
                </c:pt>
                <c:pt idx="2">
                  <c:v>14.982456140350877</c:v>
                </c:pt>
                <c:pt idx="3">
                  <c:v>9.6666666666666661</c:v>
                </c:pt>
                <c:pt idx="4">
                  <c:v>8.2456140350877192</c:v>
                </c:pt>
                <c:pt idx="5">
                  <c:v>3.9824561403508771</c:v>
                </c:pt>
                <c:pt idx="6">
                  <c:v>2.2982456140350878</c:v>
                </c:pt>
                <c:pt idx="7">
                  <c:v>1.9473684210526316</c:v>
                </c:pt>
                <c:pt idx="8">
                  <c:v>1.7017543859649122</c:v>
                </c:pt>
              </c:numCache>
            </c:numRef>
          </c:val>
          <c:extLst xmlns:c16r2="http://schemas.microsoft.com/office/drawing/2015/06/chart">
            <c:ext xmlns:c16="http://schemas.microsoft.com/office/drawing/2014/chart" uri="{C3380CC4-5D6E-409C-BE32-E72D297353CC}">
              <c16:uniqueId val="{00000000-4786-41D1-A0E1-7722BE5E33A3}"/>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9107854870789756"/>
          <c:y val="0.11300311605102856"/>
          <c:w val="0.40064424559242906"/>
          <c:h val="0.84535929782970665"/>
        </c:manualLayout>
      </c:layout>
      <c:overlay val="0"/>
    </c:legend>
    <c:plotVisOnly val="1"/>
    <c:dispBlanksAs val="zero"/>
    <c:showDLblsOverMax val="0"/>
  </c:chart>
  <c:printSettings>
    <c:headerFooter/>
    <c:pageMargins b="0.75000000000000144" l="0.70000000000000062" r="0.70000000000000062" t="0.75000000000000144"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sz="1800" b="1" i="0" baseline="0"/>
              <a:t>Verdeling structurele kosten (n=59)</a:t>
            </a:r>
          </a:p>
        </c:rich>
      </c:tx>
      <c:layout/>
      <c:overlay val="0"/>
    </c:title>
    <c:autoTitleDeleted val="0"/>
    <c:plotArea>
      <c:layout/>
      <c:pieChart>
        <c:varyColors val="1"/>
        <c:ser>
          <c:idx val="0"/>
          <c:order val="0"/>
          <c:dLbls>
            <c:spPr>
              <a:noFill/>
              <a:ln>
                <a:noFill/>
              </a:ln>
              <a:effectLst/>
            </c:sp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15:layout/>
              </c:ext>
            </c:extLst>
          </c:dLbls>
          <c:cat>
            <c:strRef>
              <c:f>'Besteding (3)'!$N$5:$N$13</c:f>
              <c:strCache>
                <c:ptCount val="9"/>
                <c:pt idx="0">
                  <c:v>Beheer</c:v>
                </c:pt>
                <c:pt idx="1">
                  <c:v>Archivering (opslag, inclusief backups)</c:v>
                </c:pt>
                <c:pt idx="2">
                  <c:v>Licenties</c:v>
                </c:pt>
                <c:pt idx="3">
                  <c:v>Onderhoud van servers en diensten</c:v>
                </c:pt>
                <c:pt idx="4">
                  <c:v>Redactionele werkzaamheden</c:v>
                </c:pt>
                <c:pt idx="5">
                  <c:v>Communicatie en gebruikersondersteuning</c:v>
                </c:pt>
                <c:pt idx="6">
                  <c:v>Overige kosten</c:v>
                </c:pt>
                <c:pt idx="7">
                  <c:v>Behoud van de digitale collectie op de lange-termijn</c:v>
                </c:pt>
                <c:pt idx="8">
                  <c:v>Analyses van het gebruik van de collecties</c:v>
                </c:pt>
              </c:strCache>
            </c:strRef>
          </c:cat>
          <c:val>
            <c:numRef>
              <c:f>'Besteding (3)'!$O$5:$O$13</c:f>
              <c:numCache>
                <c:formatCode>0</c:formatCode>
                <c:ptCount val="9"/>
                <c:pt idx="0">
                  <c:v>29.593220338983052</c:v>
                </c:pt>
                <c:pt idx="1">
                  <c:v>16.728813559322035</c:v>
                </c:pt>
                <c:pt idx="2">
                  <c:v>12.813559322033898</c:v>
                </c:pt>
                <c:pt idx="3">
                  <c:v>11.983050847457626</c:v>
                </c:pt>
                <c:pt idx="4">
                  <c:v>9.7457627118644066</c:v>
                </c:pt>
                <c:pt idx="5">
                  <c:v>5.6610169491525424</c:v>
                </c:pt>
                <c:pt idx="6">
                  <c:v>5.5084745762711869</c:v>
                </c:pt>
                <c:pt idx="7">
                  <c:v>5.1864406779661021</c:v>
                </c:pt>
                <c:pt idx="8">
                  <c:v>2.7796610169491527</c:v>
                </c:pt>
              </c:numCache>
            </c:numRef>
          </c:val>
          <c:extLst xmlns:c16r2="http://schemas.microsoft.com/office/drawing/2015/06/chart">
            <c:ext xmlns:c16="http://schemas.microsoft.com/office/drawing/2014/chart" uri="{C3380CC4-5D6E-409C-BE32-E72D297353CC}">
              <c16:uniqueId val="{00000000-50C1-4106-BE31-146F7D4F081A}"/>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3082490302460315"/>
          <c:y val="0.18834253375726795"/>
          <c:w val="0.33644187275281412"/>
          <c:h val="0.78119142275672193"/>
        </c:manualLayout>
      </c:layout>
      <c:overlay val="0"/>
    </c:legend>
    <c:plotVisOnly val="1"/>
    <c:dispBlanksAs val="zero"/>
    <c:showDLblsOverMax val="0"/>
  </c:chart>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t>Jaarbudget van respondenten</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t>(naar domein ingedeeld) (n=133)</a:t>
            </a:r>
            <a:endParaRPr lang="nl-NL" sz="1800" b="0" i="0" baseline="0"/>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endParaRPr lang="nl-NL"/>
          </a:p>
        </c:rich>
      </c:tx>
      <c:layout/>
      <c:overlay val="0"/>
    </c:title>
    <c:autoTitleDeleted val="0"/>
    <c:plotArea>
      <c:layout/>
      <c:barChart>
        <c:barDir val="col"/>
        <c:grouping val="percentStacked"/>
        <c:varyColors val="0"/>
        <c:ser>
          <c:idx val="0"/>
          <c:order val="0"/>
          <c:tx>
            <c:strRef>
              <c:f>'Budget &amp; FTE'!$G$21</c:f>
              <c:strCache>
                <c:ptCount val="1"/>
                <c:pt idx="0">
                  <c:v>Archieven (n=37)</c:v>
                </c:pt>
              </c:strCache>
            </c:strRef>
          </c:tx>
          <c:invertIfNegative val="0"/>
          <c:cat>
            <c:strRef>
              <c:f>'Budget &amp; FTE'!$F$22:$F$28</c:f>
              <c:strCache>
                <c:ptCount val="7"/>
                <c:pt idx="0">
                  <c:v>&lt; 10,000 €</c:v>
                </c:pt>
                <c:pt idx="1">
                  <c:v>10,000-50,000 €</c:v>
                </c:pt>
                <c:pt idx="2">
                  <c:v>50,000-100,000 €</c:v>
                </c:pt>
                <c:pt idx="3">
                  <c:v>100,000-500,000 €</c:v>
                </c:pt>
                <c:pt idx="4">
                  <c:v>500,000-1M €</c:v>
                </c:pt>
                <c:pt idx="5">
                  <c:v>1 - 10M €</c:v>
                </c:pt>
                <c:pt idx="6">
                  <c:v>&gt; 10M €</c:v>
                </c:pt>
              </c:strCache>
            </c:strRef>
          </c:cat>
          <c:val>
            <c:numRef>
              <c:f>'Budget &amp; FTE'!$G$22:$G$28</c:f>
              <c:numCache>
                <c:formatCode>General</c:formatCode>
                <c:ptCount val="7"/>
                <c:pt idx="0">
                  <c:v>5</c:v>
                </c:pt>
                <c:pt idx="1">
                  <c:v>4</c:v>
                </c:pt>
                <c:pt idx="2">
                  <c:v>3</c:v>
                </c:pt>
                <c:pt idx="3">
                  <c:v>8</c:v>
                </c:pt>
                <c:pt idx="4">
                  <c:v>5</c:v>
                </c:pt>
                <c:pt idx="5">
                  <c:v>11</c:v>
                </c:pt>
                <c:pt idx="6">
                  <c:v>1</c:v>
                </c:pt>
              </c:numCache>
            </c:numRef>
          </c:val>
          <c:extLst xmlns:c16r2="http://schemas.microsoft.com/office/drawing/2015/06/chart">
            <c:ext xmlns:c16="http://schemas.microsoft.com/office/drawing/2014/chart" uri="{C3380CC4-5D6E-409C-BE32-E72D297353CC}">
              <c16:uniqueId val="{00000000-1E3D-46D4-91AC-455D753B0F16}"/>
            </c:ext>
          </c:extLst>
        </c:ser>
        <c:ser>
          <c:idx val="1"/>
          <c:order val="1"/>
          <c:tx>
            <c:strRef>
              <c:f>'Budget &amp; FTE'!$H$21</c:f>
              <c:strCache>
                <c:ptCount val="1"/>
                <c:pt idx="0">
                  <c:v>Bibliotheken (n=5)</c:v>
                </c:pt>
              </c:strCache>
            </c:strRef>
          </c:tx>
          <c:invertIfNegative val="0"/>
          <c:cat>
            <c:strRef>
              <c:f>'Budget &amp; FTE'!$F$22:$F$28</c:f>
              <c:strCache>
                <c:ptCount val="7"/>
                <c:pt idx="0">
                  <c:v>&lt; 10,000 €</c:v>
                </c:pt>
                <c:pt idx="1">
                  <c:v>10,000-50,000 €</c:v>
                </c:pt>
                <c:pt idx="2">
                  <c:v>50,000-100,000 €</c:v>
                </c:pt>
                <c:pt idx="3">
                  <c:v>100,000-500,000 €</c:v>
                </c:pt>
                <c:pt idx="4">
                  <c:v>500,000-1M €</c:v>
                </c:pt>
                <c:pt idx="5">
                  <c:v>1 - 10M €</c:v>
                </c:pt>
                <c:pt idx="6">
                  <c:v>&gt; 10M €</c:v>
                </c:pt>
              </c:strCache>
            </c:strRef>
          </c:cat>
          <c:val>
            <c:numRef>
              <c:f>'Budget &amp; FTE'!$H$22:$H$28</c:f>
              <c:numCache>
                <c:formatCode>General</c:formatCode>
                <c:ptCount val="7"/>
                <c:pt idx="0">
                  <c:v>0</c:v>
                </c:pt>
                <c:pt idx="1">
                  <c:v>0</c:v>
                </c:pt>
                <c:pt idx="2">
                  <c:v>0</c:v>
                </c:pt>
                <c:pt idx="3">
                  <c:v>0</c:v>
                </c:pt>
                <c:pt idx="4">
                  <c:v>2</c:v>
                </c:pt>
                <c:pt idx="5">
                  <c:v>1</c:v>
                </c:pt>
                <c:pt idx="6">
                  <c:v>2</c:v>
                </c:pt>
              </c:numCache>
            </c:numRef>
          </c:val>
          <c:extLst xmlns:c16r2="http://schemas.microsoft.com/office/drawing/2015/06/chart">
            <c:ext xmlns:c16="http://schemas.microsoft.com/office/drawing/2014/chart" uri="{C3380CC4-5D6E-409C-BE32-E72D297353CC}">
              <c16:uniqueId val="{00000001-1E3D-46D4-91AC-455D753B0F16}"/>
            </c:ext>
          </c:extLst>
        </c:ser>
        <c:ser>
          <c:idx val="2"/>
          <c:order val="2"/>
          <c:tx>
            <c:strRef>
              <c:f>'Budget &amp; FTE'!$I$21</c:f>
              <c:strCache>
                <c:ptCount val="1"/>
                <c:pt idx="0">
                  <c:v>Musea (n=77)</c:v>
                </c:pt>
              </c:strCache>
            </c:strRef>
          </c:tx>
          <c:invertIfNegative val="0"/>
          <c:cat>
            <c:strRef>
              <c:f>'Budget &amp; FTE'!$F$22:$F$28</c:f>
              <c:strCache>
                <c:ptCount val="7"/>
                <c:pt idx="0">
                  <c:v>&lt; 10,000 €</c:v>
                </c:pt>
                <c:pt idx="1">
                  <c:v>10,000-50,000 €</c:v>
                </c:pt>
                <c:pt idx="2">
                  <c:v>50,000-100,000 €</c:v>
                </c:pt>
                <c:pt idx="3">
                  <c:v>100,000-500,000 €</c:v>
                </c:pt>
                <c:pt idx="4">
                  <c:v>500,000-1M €</c:v>
                </c:pt>
                <c:pt idx="5">
                  <c:v>1 - 10M €</c:v>
                </c:pt>
                <c:pt idx="6">
                  <c:v>&gt; 10M €</c:v>
                </c:pt>
              </c:strCache>
            </c:strRef>
          </c:cat>
          <c:val>
            <c:numRef>
              <c:f>'Budget &amp; FTE'!$I$22:$I$28</c:f>
              <c:numCache>
                <c:formatCode>General</c:formatCode>
                <c:ptCount val="7"/>
                <c:pt idx="0">
                  <c:v>5</c:v>
                </c:pt>
                <c:pt idx="1">
                  <c:v>10</c:v>
                </c:pt>
                <c:pt idx="2">
                  <c:v>10</c:v>
                </c:pt>
                <c:pt idx="3">
                  <c:v>17</c:v>
                </c:pt>
                <c:pt idx="4">
                  <c:v>8</c:v>
                </c:pt>
                <c:pt idx="5">
                  <c:v>23</c:v>
                </c:pt>
                <c:pt idx="6">
                  <c:v>4</c:v>
                </c:pt>
              </c:numCache>
            </c:numRef>
          </c:val>
          <c:extLst xmlns:c16r2="http://schemas.microsoft.com/office/drawing/2015/06/chart">
            <c:ext xmlns:c16="http://schemas.microsoft.com/office/drawing/2014/chart" uri="{C3380CC4-5D6E-409C-BE32-E72D297353CC}">
              <c16:uniqueId val="{00000002-1E3D-46D4-91AC-455D753B0F16}"/>
            </c:ext>
          </c:extLst>
        </c:ser>
        <c:ser>
          <c:idx val="3"/>
          <c:order val="3"/>
          <c:tx>
            <c:strRef>
              <c:f>'Budget &amp; FTE'!$J$21</c:f>
              <c:strCache>
                <c:ptCount val="1"/>
                <c:pt idx="0">
                  <c:v>Overig (n=14)</c:v>
                </c:pt>
              </c:strCache>
            </c:strRef>
          </c:tx>
          <c:invertIfNegative val="0"/>
          <c:cat>
            <c:strRef>
              <c:f>'Budget &amp; FTE'!$F$22:$F$28</c:f>
              <c:strCache>
                <c:ptCount val="7"/>
                <c:pt idx="0">
                  <c:v>&lt; 10,000 €</c:v>
                </c:pt>
                <c:pt idx="1">
                  <c:v>10,000-50,000 €</c:v>
                </c:pt>
                <c:pt idx="2">
                  <c:v>50,000-100,000 €</c:v>
                </c:pt>
                <c:pt idx="3">
                  <c:v>100,000-500,000 €</c:v>
                </c:pt>
                <c:pt idx="4">
                  <c:v>500,000-1M €</c:v>
                </c:pt>
                <c:pt idx="5">
                  <c:v>1 - 10M €</c:v>
                </c:pt>
                <c:pt idx="6">
                  <c:v>&gt; 10M €</c:v>
                </c:pt>
              </c:strCache>
            </c:strRef>
          </c:cat>
          <c:val>
            <c:numRef>
              <c:f>'Budget &amp; FTE'!$J$22:$J$28</c:f>
              <c:numCache>
                <c:formatCode>General</c:formatCode>
                <c:ptCount val="7"/>
                <c:pt idx="0">
                  <c:v>1</c:v>
                </c:pt>
                <c:pt idx="1">
                  <c:v>2</c:v>
                </c:pt>
                <c:pt idx="2">
                  <c:v>1</c:v>
                </c:pt>
                <c:pt idx="3">
                  <c:v>2</c:v>
                </c:pt>
                <c:pt idx="4">
                  <c:v>0</c:v>
                </c:pt>
                <c:pt idx="5">
                  <c:v>3</c:v>
                </c:pt>
                <c:pt idx="6">
                  <c:v>5</c:v>
                </c:pt>
              </c:numCache>
            </c:numRef>
          </c:val>
          <c:extLst xmlns:c16r2="http://schemas.microsoft.com/office/drawing/2015/06/chart">
            <c:ext xmlns:c16="http://schemas.microsoft.com/office/drawing/2014/chart" uri="{C3380CC4-5D6E-409C-BE32-E72D297353CC}">
              <c16:uniqueId val="{00000003-1E3D-46D4-91AC-455D753B0F16}"/>
            </c:ext>
          </c:extLst>
        </c:ser>
        <c:dLbls>
          <c:showLegendKey val="0"/>
          <c:showVal val="0"/>
          <c:showCatName val="0"/>
          <c:showSerName val="0"/>
          <c:showPercent val="0"/>
          <c:showBubbleSize val="0"/>
        </c:dLbls>
        <c:gapWidth val="75"/>
        <c:overlap val="100"/>
        <c:axId val="93675904"/>
        <c:axId val="93677440"/>
      </c:barChart>
      <c:catAx>
        <c:axId val="93675904"/>
        <c:scaling>
          <c:orientation val="minMax"/>
        </c:scaling>
        <c:delete val="0"/>
        <c:axPos val="b"/>
        <c:numFmt formatCode="General" sourceLinked="0"/>
        <c:majorTickMark val="none"/>
        <c:minorTickMark val="none"/>
        <c:tickLblPos val="nextTo"/>
        <c:crossAx val="93677440"/>
        <c:crosses val="autoZero"/>
        <c:auto val="1"/>
        <c:lblAlgn val="ctr"/>
        <c:lblOffset val="100"/>
        <c:noMultiLvlLbl val="0"/>
      </c:catAx>
      <c:valAx>
        <c:axId val="93677440"/>
        <c:scaling>
          <c:orientation val="minMax"/>
        </c:scaling>
        <c:delete val="0"/>
        <c:axPos val="l"/>
        <c:majorGridlines/>
        <c:numFmt formatCode="0%" sourceLinked="1"/>
        <c:majorTickMark val="none"/>
        <c:minorTickMark val="none"/>
        <c:tickLblPos val="nextTo"/>
        <c:spPr>
          <a:ln w="6350">
            <a:noFill/>
          </a:ln>
        </c:spPr>
        <c:crossAx val="93675904"/>
        <c:crosses val="autoZero"/>
        <c:crossBetween val="between"/>
      </c:valAx>
    </c:plotArea>
    <c:legend>
      <c:legendPos val="b"/>
      <c:layout/>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Inzet personeel</a:t>
            </a:r>
            <a:r>
              <a:rPr lang="nl-NL" baseline="0"/>
              <a:t> en vrijwilligers bij digitalisering (n=69)</a:t>
            </a:r>
            <a:endParaRPr lang="nl-NL"/>
          </a:p>
        </c:rich>
      </c:tx>
      <c:layout/>
      <c:overlay val="0"/>
    </c:title>
    <c:autoTitleDeleted val="0"/>
    <c:plotArea>
      <c:layout/>
      <c:barChart>
        <c:barDir val="bar"/>
        <c:grouping val="clustered"/>
        <c:varyColors val="0"/>
        <c:ser>
          <c:idx val="0"/>
          <c:order val="0"/>
          <c:tx>
            <c:strRef>
              <c:f>'FTE''s'!$J$5</c:f>
              <c:strCache>
                <c:ptCount val="1"/>
                <c:pt idx="0">
                  <c:v>Totaal</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'FTE''s'!$K$4:$N$4</c:f>
              <c:numCache>
                <c:formatCode>General</c:formatCode>
                <c:ptCount val="4"/>
                <c:pt idx="0">
                  <c:v>2017</c:v>
                </c:pt>
                <c:pt idx="1">
                  <c:v>2015</c:v>
                </c:pt>
                <c:pt idx="2">
                  <c:v>2013</c:v>
                </c:pt>
                <c:pt idx="3">
                  <c:v>2012</c:v>
                </c:pt>
              </c:numCache>
            </c:numRef>
          </c:cat>
          <c:val>
            <c:numRef>
              <c:f>'FTE''s'!$K$5:$N$5</c:f>
              <c:numCache>
                <c:formatCode>0.0</c:formatCode>
                <c:ptCount val="4"/>
                <c:pt idx="0">
                  <c:v>8.8000000000000007</c:v>
                </c:pt>
                <c:pt idx="1">
                  <c:v>11.8</c:v>
                </c:pt>
                <c:pt idx="2">
                  <c:v>12</c:v>
                </c:pt>
                <c:pt idx="3">
                  <c:v>5.6</c:v>
                </c:pt>
              </c:numCache>
            </c:numRef>
          </c:val>
          <c:extLst xmlns:c16r2="http://schemas.microsoft.com/office/drawing/2015/06/chart">
            <c:ext xmlns:c16="http://schemas.microsoft.com/office/drawing/2014/chart" uri="{C3380CC4-5D6E-409C-BE32-E72D297353CC}">
              <c16:uniqueId val="{00000000-F2A8-457D-BC0D-56C0F251573A}"/>
            </c:ext>
          </c:extLst>
        </c:ser>
        <c:ser>
          <c:idx val="1"/>
          <c:order val="1"/>
          <c:tx>
            <c:strRef>
              <c:f>'FTE''s'!$J$6</c:f>
              <c:strCache>
                <c:ptCount val="1"/>
                <c:pt idx="0">
                  <c:v>Vrijwilligers</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numRef>
              <c:f>'FTE''s'!$K$4:$N$4</c:f>
              <c:numCache>
                <c:formatCode>General</c:formatCode>
                <c:ptCount val="4"/>
                <c:pt idx="0">
                  <c:v>2017</c:v>
                </c:pt>
                <c:pt idx="1">
                  <c:v>2015</c:v>
                </c:pt>
                <c:pt idx="2">
                  <c:v>2013</c:v>
                </c:pt>
                <c:pt idx="3">
                  <c:v>2012</c:v>
                </c:pt>
              </c:numCache>
            </c:numRef>
          </c:cat>
          <c:val>
            <c:numRef>
              <c:f>'FTE''s'!$K$6:$N$6</c:f>
              <c:numCache>
                <c:formatCode>General</c:formatCode>
                <c:ptCount val="4"/>
                <c:pt idx="0" formatCode="0.0">
                  <c:v>4.9954545454545451</c:v>
                </c:pt>
                <c:pt idx="1">
                  <c:v>6.2</c:v>
                </c:pt>
                <c:pt idx="2">
                  <c:v>7.6</c:v>
                </c:pt>
                <c:pt idx="3" formatCode="0.0">
                  <c:v>3</c:v>
                </c:pt>
              </c:numCache>
            </c:numRef>
          </c:val>
          <c:extLst xmlns:c16r2="http://schemas.microsoft.com/office/drawing/2015/06/chart">
            <c:ext xmlns:c16="http://schemas.microsoft.com/office/drawing/2014/chart" uri="{C3380CC4-5D6E-409C-BE32-E72D297353CC}">
              <c16:uniqueId val="{00000001-F2A8-457D-BC0D-56C0F251573A}"/>
            </c:ext>
          </c:extLst>
        </c:ser>
        <c:ser>
          <c:idx val="2"/>
          <c:order val="2"/>
          <c:tx>
            <c:strRef>
              <c:f>'FTE''s'!$J$7</c:f>
              <c:strCache>
                <c:ptCount val="1"/>
                <c:pt idx="0">
                  <c:v>Betaalde medewerkers</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numRef>
              <c:f>'FTE''s'!$K$4:$N$4</c:f>
              <c:numCache>
                <c:formatCode>General</c:formatCode>
                <c:ptCount val="4"/>
                <c:pt idx="0">
                  <c:v>2017</c:v>
                </c:pt>
                <c:pt idx="1">
                  <c:v>2015</c:v>
                </c:pt>
                <c:pt idx="2">
                  <c:v>2013</c:v>
                </c:pt>
                <c:pt idx="3">
                  <c:v>2012</c:v>
                </c:pt>
              </c:numCache>
            </c:numRef>
          </c:cat>
          <c:val>
            <c:numRef>
              <c:f>'FTE''s'!$K$7:$N$7</c:f>
              <c:numCache>
                <c:formatCode>General</c:formatCode>
                <c:ptCount val="4"/>
                <c:pt idx="0" formatCode="0.0">
                  <c:v>3.7614705882352943</c:v>
                </c:pt>
                <c:pt idx="1">
                  <c:v>5.6</c:v>
                </c:pt>
                <c:pt idx="2">
                  <c:v>4.4000000000000004</c:v>
                </c:pt>
                <c:pt idx="3">
                  <c:v>2.6</c:v>
                </c:pt>
              </c:numCache>
            </c:numRef>
          </c:val>
          <c:extLst xmlns:c16r2="http://schemas.microsoft.com/office/drawing/2015/06/chart">
            <c:ext xmlns:c16="http://schemas.microsoft.com/office/drawing/2014/chart" uri="{C3380CC4-5D6E-409C-BE32-E72D297353CC}">
              <c16:uniqueId val="{00000000-D1B4-4A84-8DB4-39C1F6DC8ABF}"/>
            </c:ext>
          </c:extLst>
        </c:ser>
        <c:dLbls>
          <c:showLegendKey val="0"/>
          <c:showVal val="1"/>
          <c:showCatName val="0"/>
          <c:showSerName val="0"/>
          <c:showPercent val="0"/>
          <c:showBubbleSize val="0"/>
        </c:dLbls>
        <c:gapWidth val="150"/>
        <c:axId val="105966208"/>
        <c:axId val="106107264"/>
      </c:barChart>
      <c:catAx>
        <c:axId val="105966208"/>
        <c:scaling>
          <c:orientation val="minMax"/>
        </c:scaling>
        <c:delete val="0"/>
        <c:axPos val="l"/>
        <c:numFmt formatCode="General" sourceLinked="1"/>
        <c:majorTickMark val="none"/>
        <c:minorTickMark val="none"/>
        <c:tickLblPos val="nextTo"/>
        <c:crossAx val="106107264"/>
        <c:crosses val="autoZero"/>
        <c:auto val="1"/>
        <c:lblAlgn val="ctr"/>
        <c:lblOffset val="100"/>
        <c:noMultiLvlLbl val="0"/>
      </c:catAx>
      <c:valAx>
        <c:axId val="106107264"/>
        <c:scaling>
          <c:orientation val="minMax"/>
        </c:scaling>
        <c:delete val="1"/>
        <c:axPos val="b"/>
        <c:numFmt formatCode="0.0" sourceLinked="1"/>
        <c:majorTickMark val="none"/>
        <c:minorTickMark val="none"/>
        <c:tickLblPos val="none"/>
        <c:crossAx val="105966208"/>
        <c:crosses val="autoZero"/>
        <c:crossBetween val="between"/>
      </c:valAx>
    </c:plotArea>
    <c:legend>
      <c:legendPos val="t"/>
      <c:layout/>
      <c:overlay val="0"/>
    </c:legend>
    <c:plotVisOnly val="1"/>
    <c:dispBlanksAs val="gap"/>
    <c:showDLblsOverMax val="0"/>
  </c:chart>
  <c:printSettings>
    <c:headerFooter/>
    <c:pageMargins b="0.75000000000000144" l="0.70000000000000062" r="0.70000000000000062" t="0.75000000000000144"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nl-NL" sz="1800" b="1">
                <a:solidFill>
                  <a:sysClr val="windowText" lastClr="000000"/>
                </a:solidFill>
              </a:rPr>
              <a:t>Inzet personeel en vrijwilligers bij digitalisering (per domein) (n=68)</a:t>
            </a:r>
          </a:p>
        </c:rich>
      </c:tx>
      <c:layout/>
      <c:overlay val="0"/>
      <c:spPr>
        <a:noFill/>
        <a:ln>
          <a:noFill/>
        </a:ln>
        <a:effectLst/>
      </c:spPr>
    </c:title>
    <c:autoTitleDeleted val="0"/>
    <c:plotArea>
      <c:layout/>
      <c:barChart>
        <c:barDir val="bar"/>
        <c:grouping val="clustered"/>
        <c:varyColors val="0"/>
        <c:ser>
          <c:idx val="0"/>
          <c:order val="0"/>
          <c:tx>
            <c:strRef>
              <c:f>'FTE''s'!$K$34</c:f>
              <c:strCache>
                <c:ptCount val="1"/>
                <c:pt idx="0">
                  <c:v>Totaal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'FTE''s'!$J$35:$J$38</c:f>
              <c:strCache>
                <c:ptCount val="4"/>
                <c:pt idx="0">
                  <c:v>Archieven (n=21)</c:v>
                </c:pt>
                <c:pt idx="1">
                  <c:v>Bibliotheken (n=3)</c:v>
                </c:pt>
                <c:pt idx="2">
                  <c:v>Musea (n=35)</c:v>
                </c:pt>
                <c:pt idx="3">
                  <c:v>Overig (n=9)</c:v>
                </c:pt>
              </c:strCache>
            </c:strRef>
          </c:cat>
          <c:val>
            <c:numRef>
              <c:f>'FTE''s'!$K$35:$K$38</c:f>
              <c:numCache>
                <c:formatCode>0.0</c:formatCode>
                <c:ptCount val="4"/>
                <c:pt idx="0">
                  <c:v>16.889682539682539</c:v>
                </c:pt>
                <c:pt idx="1">
                  <c:v>4.4000000000000004</c:v>
                </c:pt>
                <c:pt idx="2">
                  <c:v>4.4722007722007717</c:v>
                </c:pt>
                <c:pt idx="3">
                  <c:v>10.222777777777779</c:v>
                </c:pt>
              </c:numCache>
            </c:numRef>
          </c:val>
          <c:extLst xmlns:c16r2="http://schemas.microsoft.com/office/drawing/2015/06/chart">
            <c:ext xmlns:c16="http://schemas.microsoft.com/office/drawing/2014/chart" uri="{C3380CC4-5D6E-409C-BE32-E72D297353CC}">
              <c16:uniqueId val="{00000000-5B30-4BAA-B7B7-CB2C7536824D}"/>
            </c:ext>
          </c:extLst>
        </c:ser>
        <c:ser>
          <c:idx val="1"/>
          <c:order val="1"/>
          <c:tx>
            <c:strRef>
              <c:f>'FTE''s'!$L$34</c:f>
              <c:strCache>
                <c:ptCount val="1"/>
                <c:pt idx="0">
                  <c:v>Betaalde medewerkers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'FTE''s'!$J$35:$J$38</c:f>
              <c:strCache>
                <c:ptCount val="4"/>
                <c:pt idx="0">
                  <c:v>Archieven (n=21)</c:v>
                </c:pt>
                <c:pt idx="1">
                  <c:v>Bibliotheken (n=3)</c:v>
                </c:pt>
                <c:pt idx="2">
                  <c:v>Musea (n=35)</c:v>
                </c:pt>
                <c:pt idx="3">
                  <c:v>Overig (n=9)</c:v>
                </c:pt>
              </c:strCache>
            </c:strRef>
          </c:cat>
          <c:val>
            <c:numRef>
              <c:f>'FTE''s'!$L$35:$L$38</c:f>
              <c:numCache>
                <c:formatCode>0.0</c:formatCode>
                <c:ptCount val="4"/>
                <c:pt idx="0">
                  <c:v>5.8619047619047615</c:v>
                </c:pt>
                <c:pt idx="1">
                  <c:v>4.166666666666667</c:v>
                </c:pt>
                <c:pt idx="2">
                  <c:v>1.6857142857142857</c:v>
                </c:pt>
                <c:pt idx="3">
                  <c:v>6.7977777777777781</c:v>
                </c:pt>
              </c:numCache>
            </c:numRef>
          </c:val>
          <c:extLst xmlns:c16r2="http://schemas.microsoft.com/office/drawing/2015/06/chart">
            <c:ext xmlns:c16="http://schemas.microsoft.com/office/drawing/2014/chart" uri="{C3380CC4-5D6E-409C-BE32-E72D297353CC}">
              <c16:uniqueId val="{00000001-5B30-4BAA-B7B7-CB2C7536824D}"/>
            </c:ext>
          </c:extLst>
        </c:ser>
        <c:ser>
          <c:idx val="2"/>
          <c:order val="2"/>
          <c:tx>
            <c:strRef>
              <c:f>'FTE''s'!$M$34</c:f>
              <c:strCache>
                <c:ptCount val="1"/>
                <c:pt idx="0">
                  <c:v>Vrijwilligers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'FTE''s'!$J$35:$J$38</c:f>
              <c:strCache>
                <c:ptCount val="4"/>
                <c:pt idx="0">
                  <c:v>Archieven (n=21)</c:v>
                </c:pt>
                <c:pt idx="1">
                  <c:v>Bibliotheken (n=3)</c:v>
                </c:pt>
                <c:pt idx="2">
                  <c:v>Musea (n=35)</c:v>
                </c:pt>
                <c:pt idx="3">
                  <c:v>Overig (n=9)</c:v>
                </c:pt>
              </c:strCache>
            </c:strRef>
          </c:cat>
          <c:val>
            <c:numRef>
              <c:f>'FTE''s'!$M$35:$M$38</c:f>
              <c:numCache>
                <c:formatCode>0.0</c:formatCode>
                <c:ptCount val="4"/>
                <c:pt idx="0">
                  <c:v>11.027777777777779</c:v>
                </c:pt>
                <c:pt idx="1">
                  <c:v>0.23333333333333331</c:v>
                </c:pt>
                <c:pt idx="2">
                  <c:v>2.7864864864864862</c:v>
                </c:pt>
                <c:pt idx="3">
                  <c:v>3.4249999999999998</c:v>
                </c:pt>
              </c:numCache>
            </c:numRef>
          </c:val>
          <c:extLst xmlns:c16r2="http://schemas.microsoft.com/office/drawing/2015/06/chart">
            <c:ext xmlns:c16="http://schemas.microsoft.com/office/drawing/2014/chart" uri="{C3380CC4-5D6E-409C-BE32-E72D297353CC}">
              <c16:uniqueId val="{00000002-5B30-4BAA-B7B7-CB2C7536824D}"/>
            </c:ext>
          </c:extLst>
        </c:ser>
        <c:dLbls>
          <c:showLegendKey val="0"/>
          <c:showVal val="1"/>
          <c:showCatName val="0"/>
          <c:showSerName val="0"/>
          <c:showPercent val="0"/>
          <c:showBubbleSize val="0"/>
        </c:dLbls>
        <c:gapWidth val="182"/>
        <c:axId val="106176896"/>
        <c:axId val="106178432"/>
      </c:barChart>
      <c:catAx>
        <c:axId val="1061768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106178432"/>
        <c:crosses val="autoZero"/>
        <c:auto val="1"/>
        <c:lblAlgn val="ctr"/>
        <c:lblOffset val="100"/>
        <c:noMultiLvlLbl val="0"/>
      </c:catAx>
      <c:valAx>
        <c:axId val="10617843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1061768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000000000000056" l="0.70000000000000051" r="0.70000000000000051" t="0.75000000000000056" header="0.30000000000000027" footer="0.30000000000000027"/>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sz="1800" b="1" i="0" baseline="0">
                <a:effectLst/>
              </a:rPr>
              <a:t>Aanwending van type financieringsbronnen door erfgoedinstellingen (n=72)</a:t>
            </a:r>
            <a:endParaRPr lang="nl-NL">
              <a:effectLst/>
            </a:endParaRPr>
          </a:p>
        </c:rich>
      </c:tx>
      <c:layout/>
      <c:overlay val="0"/>
    </c:title>
    <c:autoTitleDeleted val="0"/>
    <c:plotArea>
      <c:layout/>
      <c:barChart>
        <c:barDir val="bar"/>
        <c:grouping val="clustered"/>
        <c:varyColors val="0"/>
        <c:ser>
          <c:idx val="0"/>
          <c:order val="0"/>
          <c:tx>
            <c:strRef>
              <c:f>Financiering!$M$4</c:f>
              <c:strCache>
                <c:ptCount val="1"/>
                <c:pt idx="0">
                  <c:v>NL 2017</c:v>
                </c:pt>
              </c:strCache>
            </c:strRef>
          </c:tx>
          <c:invertIfNegative val="0"/>
          <c:cat>
            <c:strRef>
              <c:f>Financiering!$L$5:$L$12</c:f>
              <c:strCache>
                <c:ptCount val="8"/>
                <c:pt idx="0">
                  <c:v>Crowdfunding</c:v>
                </c:pt>
                <c:pt idx="1">
                  <c:v>Overige inkomstenbronnen</c:v>
                </c:pt>
                <c:pt idx="2">
                  <c:v>Publiek-private samenwerking(en)</c:v>
                </c:pt>
                <c:pt idx="3">
                  <c:v>Inkomsten uit de verkoop digitale producten/diensten</c:v>
                </c:pt>
                <c:pt idx="4">
                  <c:v>Private schenkingen en nalatenschappen</c:v>
                </c:pt>
                <c:pt idx="5">
                  <c:v>Publieke subsidies uit regionale/lokale middelen</c:v>
                </c:pt>
                <c:pt idx="6">
                  <c:v>Publieke subsidies uit nationale middelen</c:v>
                </c:pt>
                <c:pt idx="7">
                  <c:v>Interne budgetten</c:v>
                </c:pt>
              </c:strCache>
            </c:strRef>
          </c:cat>
          <c:val>
            <c:numRef>
              <c:f>Financiering!$M$5:$M$12</c:f>
              <c:numCache>
                <c:formatCode>0%</c:formatCode>
                <c:ptCount val="8"/>
                <c:pt idx="0">
                  <c:v>1.3888888888888888E-2</c:v>
                </c:pt>
                <c:pt idx="1">
                  <c:v>2.7777777777777776E-2</c:v>
                </c:pt>
                <c:pt idx="2">
                  <c:v>8.3333333333333329E-2</c:v>
                </c:pt>
                <c:pt idx="3">
                  <c:v>0.1388888888888889</c:v>
                </c:pt>
                <c:pt idx="4">
                  <c:v>0.16666666666666666</c:v>
                </c:pt>
                <c:pt idx="5">
                  <c:v>0.25</c:v>
                </c:pt>
                <c:pt idx="6">
                  <c:v>0.31944444444444442</c:v>
                </c:pt>
                <c:pt idx="7">
                  <c:v>0.90277777777777779</c:v>
                </c:pt>
              </c:numCache>
            </c:numRef>
          </c:val>
        </c:ser>
        <c:ser>
          <c:idx val="1"/>
          <c:order val="1"/>
          <c:tx>
            <c:strRef>
              <c:f>Financiering!$N$4</c:f>
              <c:strCache>
                <c:ptCount val="1"/>
                <c:pt idx="0">
                  <c:v>EU 2017</c:v>
                </c:pt>
              </c:strCache>
            </c:strRef>
          </c:tx>
          <c:invertIfNegative val="0"/>
          <c:cat>
            <c:strRef>
              <c:f>Financiering!$L$5:$L$12</c:f>
              <c:strCache>
                <c:ptCount val="8"/>
                <c:pt idx="0">
                  <c:v>Crowdfunding</c:v>
                </c:pt>
                <c:pt idx="1">
                  <c:v>Overige inkomstenbronnen</c:v>
                </c:pt>
                <c:pt idx="2">
                  <c:v>Publiek-private samenwerking(en)</c:v>
                </c:pt>
                <c:pt idx="3">
                  <c:v>Inkomsten uit de verkoop digitale producten/diensten</c:v>
                </c:pt>
                <c:pt idx="4">
                  <c:v>Private schenkingen en nalatenschappen</c:v>
                </c:pt>
                <c:pt idx="5">
                  <c:v>Publieke subsidies uit regionale/lokale middelen</c:v>
                </c:pt>
                <c:pt idx="6">
                  <c:v>Publieke subsidies uit nationale middelen</c:v>
                </c:pt>
                <c:pt idx="7">
                  <c:v>Interne budgetten</c:v>
                </c:pt>
              </c:strCache>
            </c:strRef>
          </c:cat>
          <c:val>
            <c:numRef>
              <c:f>Financiering!$N$5:$N$12</c:f>
              <c:numCache>
                <c:formatCode>0%</c:formatCode>
                <c:ptCount val="8"/>
                <c:pt idx="0">
                  <c:v>0.02</c:v>
                </c:pt>
                <c:pt idx="1">
                  <c:v>0.04</c:v>
                </c:pt>
                <c:pt idx="2">
                  <c:v>0.06</c:v>
                </c:pt>
                <c:pt idx="3">
                  <c:v>0.1</c:v>
                </c:pt>
                <c:pt idx="4">
                  <c:v>0.11</c:v>
                </c:pt>
                <c:pt idx="5">
                  <c:v>0.18</c:v>
                </c:pt>
                <c:pt idx="6">
                  <c:v>0.43</c:v>
                </c:pt>
                <c:pt idx="7">
                  <c:v>0.90277777777777779</c:v>
                </c:pt>
              </c:numCache>
            </c:numRef>
          </c:val>
        </c:ser>
        <c:dLbls>
          <c:showLegendKey val="0"/>
          <c:showVal val="1"/>
          <c:showCatName val="0"/>
          <c:showSerName val="0"/>
          <c:showPercent val="0"/>
          <c:showBubbleSize val="0"/>
        </c:dLbls>
        <c:gapWidth val="150"/>
        <c:overlap val="-25"/>
        <c:axId val="106221952"/>
        <c:axId val="106223488"/>
      </c:barChart>
      <c:catAx>
        <c:axId val="106221952"/>
        <c:scaling>
          <c:orientation val="minMax"/>
        </c:scaling>
        <c:delete val="0"/>
        <c:axPos val="l"/>
        <c:majorTickMark val="none"/>
        <c:minorTickMark val="none"/>
        <c:tickLblPos val="nextTo"/>
        <c:crossAx val="106223488"/>
        <c:crosses val="autoZero"/>
        <c:auto val="1"/>
        <c:lblAlgn val="ctr"/>
        <c:lblOffset val="100"/>
        <c:noMultiLvlLbl val="0"/>
      </c:catAx>
      <c:valAx>
        <c:axId val="106223488"/>
        <c:scaling>
          <c:orientation val="minMax"/>
        </c:scaling>
        <c:delete val="1"/>
        <c:axPos val="b"/>
        <c:numFmt formatCode="0%" sourceLinked="1"/>
        <c:majorTickMark val="out"/>
        <c:minorTickMark val="none"/>
        <c:tickLblPos val="nextTo"/>
        <c:crossAx val="106221952"/>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t>Gemiddeld aantal betaalde medewerkers bij respondenten (n=133)</a:t>
            </a:r>
            <a:endParaRPr lang="nl-NL" sz="1800" b="1" i="0" baseline="0"/>
          </a:p>
        </c:rich>
      </c:tx>
      <c:overlay val="0"/>
    </c:title>
    <c:autoTitleDeleted val="0"/>
    <c:plotArea>
      <c:layout/>
      <c:barChart>
        <c:barDir val="col"/>
        <c:grouping val="clustered"/>
        <c:varyColors val="0"/>
        <c:ser>
          <c:idx val="0"/>
          <c:order val="0"/>
          <c:invertIfNegative val="0"/>
          <c:dPt>
            <c:idx val="4"/>
            <c:invertIfNegative val="0"/>
            <c:bubble3D val="0"/>
            <c:spPr>
              <a:solidFill>
                <a:srgbClr val="FF0000"/>
              </a:solidFill>
            </c:spPr>
            <c:extLst xmlns:c16r2="http://schemas.microsoft.com/office/drawing/2015/06/chart">
              <c:ext xmlns:c16="http://schemas.microsoft.com/office/drawing/2014/chart" uri="{C3380CC4-5D6E-409C-BE32-E72D297353CC}">
                <c16:uniqueId val="{00000000-BA0B-4E30-B4D2-4045D916DFE7}"/>
              </c:ext>
            </c:extLst>
          </c:dPt>
          <c:dPt>
            <c:idx val="5"/>
            <c:invertIfNegative val="0"/>
            <c:bubble3D val="0"/>
            <c:spPr>
              <a:solidFill>
                <a:srgbClr val="FF0000"/>
              </a:solidFill>
            </c:spPr>
            <c:extLst xmlns:c16r2="http://schemas.microsoft.com/office/drawing/2015/06/chart">
              <c:ext xmlns:c16="http://schemas.microsoft.com/office/drawing/2014/chart" uri="{C3380CC4-5D6E-409C-BE32-E72D297353CC}">
                <c16:uniqueId val="{00000001-BA0B-4E30-B4D2-4045D916DFE7}"/>
              </c:ext>
            </c:extLst>
          </c:dPt>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'Budget &amp; FTE'!$F$45:$F$50</c:f>
              <c:strCache>
                <c:ptCount val="6"/>
                <c:pt idx="0">
                  <c:v>Archieven (n=37)</c:v>
                </c:pt>
                <c:pt idx="1">
                  <c:v>Bibliotheken (n=5)</c:v>
                </c:pt>
                <c:pt idx="2">
                  <c:v>Musea (n=74)</c:v>
                </c:pt>
                <c:pt idx="3">
                  <c:v>Overig (n=14)</c:v>
                </c:pt>
                <c:pt idx="4">
                  <c:v>Gemiddeld</c:v>
                </c:pt>
                <c:pt idx="5">
                  <c:v>Mediaan</c:v>
                </c:pt>
              </c:strCache>
            </c:strRef>
          </c:cat>
          <c:val>
            <c:numRef>
              <c:f>'Budget &amp; FTE'!$G$45:$G$50</c:f>
              <c:numCache>
                <c:formatCode>0.0</c:formatCode>
                <c:ptCount val="6"/>
                <c:pt idx="0">
                  <c:v>22.802702702702703</c:v>
                </c:pt>
                <c:pt idx="1">
                  <c:v>113.52000000000001</c:v>
                </c:pt>
                <c:pt idx="2">
                  <c:v>18.762837837837839</c:v>
                </c:pt>
                <c:pt idx="3">
                  <c:v>51.221428571428575</c:v>
                </c:pt>
                <c:pt idx="4" formatCode="General">
                  <c:v>26.4</c:v>
                </c:pt>
                <c:pt idx="5" formatCode="General">
                  <c:v>2.4</c:v>
                </c:pt>
              </c:numCache>
            </c:numRef>
          </c:val>
          <c:extLst xmlns:c16r2="http://schemas.microsoft.com/office/drawing/2015/06/chart">
            <c:ext xmlns:c16="http://schemas.microsoft.com/office/drawing/2014/chart" uri="{C3380CC4-5D6E-409C-BE32-E72D297353CC}">
              <c16:uniqueId val="{00000002-BA0B-4E30-B4D2-4045D916DFE7}"/>
            </c:ext>
          </c:extLst>
        </c:ser>
        <c:dLbls>
          <c:showLegendKey val="0"/>
          <c:showVal val="1"/>
          <c:showCatName val="0"/>
          <c:showSerName val="0"/>
          <c:showPercent val="0"/>
          <c:showBubbleSize val="0"/>
        </c:dLbls>
        <c:gapWidth val="150"/>
        <c:overlap val="-25"/>
        <c:axId val="93686400"/>
        <c:axId val="93706496"/>
      </c:barChart>
      <c:catAx>
        <c:axId val="93686400"/>
        <c:scaling>
          <c:orientation val="minMax"/>
        </c:scaling>
        <c:delete val="0"/>
        <c:axPos val="b"/>
        <c:numFmt formatCode="General" sourceLinked="0"/>
        <c:majorTickMark val="none"/>
        <c:minorTickMark val="none"/>
        <c:tickLblPos val="nextTo"/>
        <c:crossAx val="93706496"/>
        <c:crosses val="autoZero"/>
        <c:auto val="1"/>
        <c:lblAlgn val="ctr"/>
        <c:lblOffset val="100"/>
        <c:noMultiLvlLbl val="0"/>
      </c:catAx>
      <c:valAx>
        <c:axId val="93706496"/>
        <c:scaling>
          <c:orientation val="minMax"/>
        </c:scaling>
        <c:delete val="1"/>
        <c:axPos val="l"/>
        <c:numFmt formatCode="0.0" sourceLinked="1"/>
        <c:majorTickMark val="none"/>
        <c:minorTickMark val="none"/>
        <c:tickLblPos val="none"/>
        <c:crossAx val="93686400"/>
        <c:crosses val="autoZero"/>
        <c:crossBetween val="between"/>
      </c:valAx>
    </c:plotArea>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800" b="1" i="0" baseline="0">
                <a:effectLst/>
              </a:rPr>
              <a:t>Heeft je organisatie een door het management vastgesteld digitaliseringbeleid? (n=139)</a:t>
            </a:r>
            <a:endParaRPr lang="nl-NL">
              <a:effectLst/>
            </a:endParaRPr>
          </a:p>
        </c:rich>
      </c:tx>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3CF9-48D7-9EA9-1F4E7290B84E}"/>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3CF9-48D7-9EA9-1F4E7290B84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'Digitale strategie'!$H$6:$H$7</c:f>
              <c:strCache>
                <c:ptCount val="2"/>
                <c:pt idx="0">
                  <c:v>Ja</c:v>
                </c:pt>
                <c:pt idx="1">
                  <c:v>Nee</c:v>
                </c:pt>
              </c:strCache>
            </c:strRef>
          </c:cat>
          <c:val>
            <c:numRef>
              <c:f>'Digitale strategie'!$I$6:$I$7</c:f>
              <c:numCache>
                <c:formatCode>General</c:formatCode>
                <c:ptCount val="2"/>
                <c:pt idx="0">
                  <c:v>76</c:v>
                </c:pt>
                <c:pt idx="1">
                  <c:v>56</c:v>
                </c:pt>
              </c:numCache>
            </c:numRef>
          </c:val>
          <c:extLst xmlns:c16r2="http://schemas.microsoft.com/office/drawing/2015/06/chart">
            <c:ext xmlns:c16="http://schemas.microsoft.com/office/drawing/2014/chart" uri="{C3380CC4-5D6E-409C-BE32-E72D297353CC}">
              <c16:uniqueId val="{00000000-8A4E-489B-901D-B91C19508A26}"/>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000000000000167" l="0.70000000000000062" r="0.70000000000000062" t="0.7500000000000016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800" b="1" i="0" baseline="0">
                <a:effectLst/>
              </a:rPr>
              <a:t>Heeft je organisatie een door het management vastgesteld digitaliseringbeleid? </a:t>
            </a:r>
          </a:p>
          <a:p>
            <a:pPr>
              <a:defRPr sz="1400" b="0" i="0" u="none" strike="noStrike" kern="1200" spc="0" baseline="0">
                <a:solidFill>
                  <a:schemeClr val="tx1">
                    <a:lumMod val="65000"/>
                    <a:lumOff val="35000"/>
                  </a:schemeClr>
                </a:solidFill>
                <a:latin typeface="+mn-lt"/>
                <a:ea typeface="+mn-ea"/>
                <a:cs typeface="+mn-cs"/>
              </a:defRPr>
            </a:pPr>
            <a:r>
              <a:rPr lang="nl-NL" sz="1800" b="1" i="0" baseline="0">
                <a:effectLst/>
              </a:rPr>
              <a:t>(per sector, n=132)</a:t>
            </a:r>
            <a:endParaRPr lang="nl-NL">
              <a:effectLst/>
            </a:endParaRPr>
          </a:p>
        </c:rich>
      </c:tx>
      <c:overlay val="0"/>
      <c:spPr>
        <a:noFill/>
        <a:ln>
          <a:noFill/>
        </a:ln>
        <a:effectLst/>
      </c:spPr>
    </c:title>
    <c:autoTitleDeleted val="0"/>
    <c:plotArea>
      <c:layout/>
      <c:barChart>
        <c:barDir val="col"/>
        <c:grouping val="percentStacked"/>
        <c:varyColors val="0"/>
        <c:ser>
          <c:idx val="0"/>
          <c:order val="0"/>
          <c:tx>
            <c:strRef>
              <c:f>'Digitale strategie'!$I$54</c:f>
              <c:strCache>
                <c:ptCount val="1"/>
                <c:pt idx="0">
                  <c:v>Ja</c:v>
                </c:pt>
              </c:strCache>
            </c:strRef>
          </c:tx>
          <c:spPr>
            <a:solidFill>
              <a:schemeClr val="accent1"/>
            </a:solidFill>
            <a:ln>
              <a:noFill/>
            </a:ln>
            <a:effectLst/>
          </c:spPr>
          <c:invertIfNegative val="0"/>
          <c:cat>
            <c:strRef>
              <c:f>'Digitale strategie'!$H$55:$H$58</c:f>
              <c:strCache>
                <c:ptCount val="4"/>
                <c:pt idx="0">
                  <c:v>Archieven (n=37)</c:v>
                </c:pt>
                <c:pt idx="1">
                  <c:v>Bibliotheken (n=5)</c:v>
                </c:pt>
                <c:pt idx="2">
                  <c:v>Musea (n=78)</c:v>
                </c:pt>
                <c:pt idx="3">
                  <c:v>Overig (n=12)</c:v>
                </c:pt>
              </c:strCache>
            </c:strRef>
          </c:cat>
          <c:val>
            <c:numRef>
              <c:f>'Digitale strategie'!$I$55:$I$58</c:f>
              <c:numCache>
                <c:formatCode>General</c:formatCode>
                <c:ptCount val="4"/>
                <c:pt idx="0">
                  <c:v>20</c:v>
                </c:pt>
                <c:pt idx="1">
                  <c:v>3</c:v>
                </c:pt>
                <c:pt idx="2">
                  <c:v>44</c:v>
                </c:pt>
                <c:pt idx="3">
                  <c:v>9</c:v>
                </c:pt>
              </c:numCache>
            </c:numRef>
          </c:val>
          <c:extLst xmlns:c16r2="http://schemas.microsoft.com/office/drawing/2015/06/chart">
            <c:ext xmlns:c16="http://schemas.microsoft.com/office/drawing/2014/chart" uri="{C3380CC4-5D6E-409C-BE32-E72D297353CC}">
              <c16:uniqueId val="{00000000-422F-4232-BF0D-13AE3C06238C}"/>
            </c:ext>
          </c:extLst>
        </c:ser>
        <c:ser>
          <c:idx val="1"/>
          <c:order val="1"/>
          <c:tx>
            <c:strRef>
              <c:f>'Digitale strategie'!$J$54</c:f>
              <c:strCache>
                <c:ptCount val="1"/>
                <c:pt idx="0">
                  <c:v>Nee</c:v>
                </c:pt>
              </c:strCache>
            </c:strRef>
          </c:tx>
          <c:spPr>
            <a:solidFill>
              <a:schemeClr val="accent2"/>
            </a:solidFill>
            <a:ln>
              <a:noFill/>
            </a:ln>
            <a:effectLst/>
          </c:spPr>
          <c:invertIfNegative val="0"/>
          <c:cat>
            <c:strRef>
              <c:f>'Digitale strategie'!$H$55:$H$58</c:f>
              <c:strCache>
                <c:ptCount val="4"/>
                <c:pt idx="0">
                  <c:v>Archieven (n=37)</c:v>
                </c:pt>
                <c:pt idx="1">
                  <c:v>Bibliotheken (n=5)</c:v>
                </c:pt>
                <c:pt idx="2">
                  <c:v>Musea (n=78)</c:v>
                </c:pt>
                <c:pt idx="3">
                  <c:v>Overig (n=12)</c:v>
                </c:pt>
              </c:strCache>
            </c:strRef>
          </c:cat>
          <c:val>
            <c:numRef>
              <c:f>'Digitale strategie'!$J$55:$J$58</c:f>
              <c:numCache>
                <c:formatCode>General</c:formatCode>
                <c:ptCount val="4"/>
                <c:pt idx="0">
                  <c:v>17</c:v>
                </c:pt>
                <c:pt idx="1">
                  <c:v>2</c:v>
                </c:pt>
                <c:pt idx="2">
                  <c:v>34</c:v>
                </c:pt>
                <c:pt idx="3">
                  <c:v>3</c:v>
                </c:pt>
              </c:numCache>
            </c:numRef>
          </c:val>
          <c:extLst xmlns:c16r2="http://schemas.microsoft.com/office/drawing/2015/06/chart">
            <c:ext xmlns:c16="http://schemas.microsoft.com/office/drawing/2014/chart" uri="{C3380CC4-5D6E-409C-BE32-E72D297353CC}">
              <c16:uniqueId val="{00000001-422F-4232-BF0D-13AE3C06238C}"/>
            </c:ext>
          </c:extLst>
        </c:ser>
        <c:dLbls>
          <c:showLegendKey val="0"/>
          <c:showVal val="0"/>
          <c:showCatName val="0"/>
          <c:showSerName val="0"/>
          <c:showPercent val="0"/>
          <c:showBubbleSize val="0"/>
        </c:dLbls>
        <c:gapWidth val="150"/>
        <c:overlap val="100"/>
        <c:axId val="94163328"/>
        <c:axId val="94164864"/>
      </c:barChart>
      <c:catAx>
        <c:axId val="94163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4164864"/>
        <c:crosses val="autoZero"/>
        <c:auto val="1"/>
        <c:lblAlgn val="ctr"/>
        <c:lblOffset val="100"/>
        <c:noMultiLvlLbl val="0"/>
      </c:catAx>
      <c:valAx>
        <c:axId val="941648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4163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000000000000056" l="0.70000000000000051" r="0.70000000000000051" t="0.75000000000000056" header="0.30000000000000027" footer="0.30000000000000027"/>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800" b="0" i="0" baseline="0">
                <a:effectLst/>
              </a:rPr>
              <a:t>Thema's geadresseerd in het digitaliseringsbeleid (n=76)</a:t>
            </a:r>
            <a:endParaRPr lang="nl-NL">
              <a:effectLst/>
            </a:endParaRPr>
          </a:p>
        </c:rich>
      </c:tx>
      <c:layout/>
      <c:overlay val="0"/>
      <c:spPr>
        <a:noFill/>
        <a:ln>
          <a:noFill/>
        </a:ln>
        <a:effectLst/>
      </c:sp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'Digitale strategie'!$H$31:$H$34</c:f>
              <c:strCache>
                <c:ptCount val="4"/>
                <c:pt idx="0">
                  <c:v>Digitalisering analoge collecties</c:v>
                </c:pt>
                <c:pt idx="1">
                  <c:v>Selectie/verwerving digitale collecties</c:v>
                </c:pt>
                <c:pt idx="2">
                  <c:v>Online aanbieden van collecties</c:v>
                </c:pt>
                <c:pt idx="3">
                  <c:v>Digitale duurzaamheid</c:v>
                </c:pt>
              </c:strCache>
            </c:strRef>
          </c:cat>
          <c:val>
            <c:numRef>
              <c:f>'Digitale strategie'!$I$31:$I$34</c:f>
              <c:numCache>
                <c:formatCode>0%</c:formatCode>
                <c:ptCount val="4"/>
                <c:pt idx="0">
                  <c:v>0.90789473684210531</c:v>
                </c:pt>
                <c:pt idx="1">
                  <c:v>0.35526315789473684</c:v>
                </c:pt>
                <c:pt idx="2">
                  <c:v>0.84210526315789469</c:v>
                </c:pt>
                <c:pt idx="3">
                  <c:v>0.46052631578947367</c:v>
                </c:pt>
              </c:numCache>
            </c:numRef>
          </c:val>
          <c:extLst xmlns:c16r2="http://schemas.microsoft.com/office/drawing/2015/06/chart">
            <c:ext xmlns:c16="http://schemas.microsoft.com/office/drawing/2014/chart" uri="{C3380CC4-5D6E-409C-BE32-E72D297353CC}">
              <c16:uniqueId val="{00000000-E634-4746-AF1A-677234A57F26}"/>
            </c:ext>
          </c:extLst>
        </c:ser>
        <c:dLbls>
          <c:dLblPos val="outEnd"/>
          <c:showLegendKey val="0"/>
          <c:showVal val="1"/>
          <c:showCatName val="0"/>
          <c:showSerName val="0"/>
          <c:showPercent val="0"/>
          <c:showBubbleSize val="0"/>
        </c:dLbls>
        <c:gapWidth val="182"/>
        <c:axId val="93795840"/>
        <c:axId val="93815168"/>
      </c:barChart>
      <c:catAx>
        <c:axId val="937958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3815168"/>
        <c:crosses val="autoZero"/>
        <c:auto val="1"/>
        <c:lblAlgn val="ctr"/>
        <c:lblOffset val="100"/>
        <c:noMultiLvlLbl val="0"/>
      </c:catAx>
      <c:valAx>
        <c:axId val="938151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3795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800" b="1" i="0" baseline="0">
                <a:effectLst/>
              </a:rPr>
              <a:t>Verzamelt je instelling born digital erfgoed? (n=131)</a:t>
            </a:r>
            <a:endParaRPr lang="nl-NL">
              <a:effectLst/>
            </a:endParaRPr>
          </a:p>
        </c:rich>
      </c:tx>
      <c:layout/>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0-BFFA-4EA2-B00D-1A3E1F0AB508}"/>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1-BFFA-4EA2-B00D-1A3E1F0AB50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'Born digital'!$C$4:$C$5</c:f>
              <c:strCache>
                <c:ptCount val="2"/>
                <c:pt idx="0">
                  <c:v>Ja</c:v>
                </c:pt>
                <c:pt idx="1">
                  <c:v>Nee</c:v>
                </c:pt>
              </c:strCache>
            </c:strRef>
          </c:cat>
          <c:val>
            <c:numRef>
              <c:f>'Born digital'!$D$4:$D$5</c:f>
              <c:numCache>
                <c:formatCode>General</c:formatCode>
                <c:ptCount val="2"/>
                <c:pt idx="0">
                  <c:v>65</c:v>
                </c:pt>
                <c:pt idx="1">
                  <c:v>66</c:v>
                </c:pt>
              </c:numCache>
            </c:numRef>
          </c:val>
          <c:extLst xmlns:c16r2="http://schemas.microsoft.com/office/drawing/2015/06/chart">
            <c:ext xmlns:c16="http://schemas.microsoft.com/office/drawing/2014/chart" uri="{C3380CC4-5D6E-409C-BE32-E72D297353CC}">
              <c16:uniqueId val="{00000000-F8D2-4EFB-AF4A-5B54DBC5F087}"/>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000000000000167" l="0.70000000000000062" r="0.70000000000000062" t="0.75000000000000167"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7.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11</xdr:col>
      <xdr:colOff>47624</xdr:colOff>
      <xdr:row>4</xdr:row>
      <xdr:rowOff>68033</xdr:rowOff>
    </xdr:from>
    <xdr:to>
      <xdr:col>22</xdr:col>
      <xdr:colOff>95250</xdr:colOff>
      <xdr:row>27</xdr:row>
      <xdr:rowOff>114300</xdr:rowOff>
    </xdr:to>
    <xdr:graphicFrame macro="">
      <xdr:nvGraphicFramePr>
        <xdr:cNvPr id="5" name="Grafiek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97972</xdr:colOff>
      <xdr:row>4</xdr:row>
      <xdr:rowOff>65313</xdr:rowOff>
    </xdr:from>
    <xdr:to>
      <xdr:col>10</xdr:col>
      <xdr:colOff>576944</xdr:colOff>
      <xdr:row>25</xdr:row>
      <xdr:rowOff>27214</xdr:rowOff>
    </xdr:to>
    <xdr:graphicFrame macro="">
      <xdr:nvGraphicFramePr>
        <xdr:cNvPr id="6" name="Grafiek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514350</xdr:colOff>
      <xdr:row>10</xdr:row>
      <xdr:rowOff>152399</xdr:rowOff>
    </xdr:from>
    <xdr:to>
      <xdr:col>18</xdr:col>
      <xdr:colOff>581025</xdr:colOff>
      <xdr:row>30</xdr:row>
      <xdr:rowOff>104774</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495300</xdr:colOff>
      <xdr:row>31</xdr:row>
      <xdr:rowOff>161924</xdr:rowOff>
    </xdr:from>
    <xdr:to>
      <xdr:col>19</xdr:col>
      <xdr:colOff>342900</xdr:colOff>
      <xdr:row>46</xdr:row>
      <xdr:rowOff>76199</xdr:rowOff>
    </xdr:to>
    <xdr:graphicFrame macro="">
      <xdr:nvGraphicFramePr>
        <xdr:cNvPr id="3" name="Grafiek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485775</xdr:colOff>
      <xdr:row>47</xdr:row>
      <xdr:rowOff>95250</xdr:rowOff>
    </xdr:from>
    <xdr:to>
      <xdr:col>19</xdr:col>
      <xdr:colOff>352425</xdr:colOff>
      <xdr:row>61</xdr:row>
      <xdr:rowOff>171450</xdr:rowOff>
    </xdr:to>
    <xdr:graphicFrame macro="">
      <xdr:nvGraphicFramePr>
        <xdr:cNvPr id="4" name="Grafiek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291193</xdr:colOff>
      <xdr:row>10</xdr:row>
      <xdr:rowOff>166008</xdr:rowOff>
    </xdr:from>
    <xdr:to>
      <xdr:col>9</xdr:col>
      <xdr:colOff>628650</xdr:colOff>
      <xdr:row>25</xdr:row>
      <xdr:rowOff>133351</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531478</xdr:colOff>
      <xdr:row>89</xdr:row>
      <xdr:rowOff>44824</xdr:rowOff>
    </xdr:from>
    <xdr:to>
      <xdr:col>15</xdr:col>
      <xdr:colOff>416218</xdr:colOff>
      <xdr:row>110</xdr:row>
      <xdr:rowOff>160084</xdr:rowOff>
    </xdr:to>
    <xdr:graphicFrame macro="">
      <xdr:nvGraphicFramePr>
        <xdr:cNvPr id="3" name="Grafiek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2722</xdr:colOff>
      <xdr:row>12</xdr:row>
      <xdr:rowOff>182335</xdr:rowOff>
    </xdr:from>
    <xdr:to>
      <xdr:col>16</xdr:col>
      <xdr:colOff>571500</xdr:colOff>
      <xdr:row>27</xdr:row>
      <xdr:rowOff>149678</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92528</xdr:colOff>
      <xdr:row>6</xdr:row>
      <xdr:rowOff>117021</xdr:rowOff>
    </xdr:from>
    <xdr:to>
      <xdr:col>18</xdr:col>
      <xdr:colOff>485775</xdr:colOff>
      <xdr:row>20</xdr:row>
      <xdr:rowOff>95250</xdr:rowOff>
    </xdr:to>
    <xdr:graphicFrame macro="">
      <xdr:nvGraphicFramePr>
        <xdr:cNvPr id="3" name="Grafiek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106134</xdr:colOff>
      <xdr:row>31</xdr:row>
      <xdr:rowOff>122463</xdr:rowOff>
    </xdr:from>
    <xdr:to>
      <xdr:col>17</xdr:col>
      <xdr:colOff>600075</xdr:colOff>
      <xdr:row>53</xdr:row>
      <xdr:rowOff>146956</xdr:rowOff>
    </xdr:to>
    <xdr:graphicFrame macro="">
      <xdr:nvGraphicFramePr>
        <xdr:cNvPr id="6" name="Grafiek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1360</xdr:colOff>
      <xdr:row>9</xdr:row>
      <xdr:rowOff>19050</xdr:rowOff>
    </xdr:from>
    <xdr:to>
      <xdr:col>7</xdr:col>
      <xdr:colOff>390524</xdr:colOff>
      <xdr:row>31</xdr:row>
      <xdr:rowOff>171450</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6691992</xdr:colOff>
      <xdr:row>41</xdr:row>
      <xdr:rowOff>117020</xdr:rowOff>
    </xdr:from>
    <xdr:to>
      <xdr:col>7</xdr:col>
      <xdr:colOff>326571</xdr:colOff>
      <xdr:row>63</xdr:row>
      <xdr:rowOff>43543</xdr:rowOff>
    </xdr:to>
    <xdr:graphicFrame macro="">
      <xdr:nvGraphicFramePr>
        <xdr:cNvPr id="4" name="Grafiek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0</xdr:colOff>
      <xdr:row>9</xdr:row>
      <xdr:rowOff>29936</xdr:rowOff>
    </xdr:from>
    <xdr:to>
      <xdr:col>13</xdr:col>
      <xdr:colOff>261257</xdr:colOff>
      <xdr:row>26</xdr:row>
      <xdr:rowOff>144780</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4</xdr:col>
      <xdr:colOff>438150</xdr:colOff>
      <xdr:row>10</xdr:row>
      <xdr:rowOff>149679</xdr:rowOff>
    </xdr:from>
    <xdr:to>
      <xdr:col>11</xdr:col>
      <xdr:colOff>334736</xdr:colOff>
      <xdr:row>25</xdr:row>
      <xdr:rowOff>117021</xdr:rowOff>
    </xdr:to>
    <xdr:graphicFrame macro="">
      <xdr:nvGraphicFramePr>
        <xdr:cNvPr id="3" name="Grafiek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617765</xdr:colOff>
      <xdr:row>32</xdr:row>
      <xdr:rowOff>166007</xdr:rowOff>
    </xdr:from>
    <xdr:to>
      <xdr:col>11</xdr:col>
      <xdr:colOff>117022</xdr:colOff>
      <xdr:row>47</xdr:row>
      <xdr:rowOff>133350</xdr:rowOff>
    </xdr:to>
    <xdr:graphicFrame macro="">
      <xdr:nvGraphicFramePr>
        <xdr:cNvPr id="5" name="Grafiek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432707</xdr:colOff>
      <xdr:row>6</xdr:row>
      <xdr:rowOff>155122</xdr:rowOff>
    </xdr:from>
    <xdr:to>
      <xdr:col>10</xdr:col>
      <xdr:colOff>304800</xdr:colOff>
      <xdr:row>21</xdr:row>
      <xdr:rowOff>122465</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257174</xdr:colOff>
      <xdr:row>15</xdr:row>
      <xdr:rowOff>104774</xdr:rowOff>
    </xdr:from>
    <xdr:to>
      <xdr:col>19</xdr:col>
      <xdr:colOff>304800</xdr:colOff>
      <xdr:row>39</xdr:row>
      <xdr:rowOff>114300</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172810</xdr:colOff>
      <xdr:row>2</xdr:row>
      <xdr:rowOff>61231</xdr:rowOff>
    </xdr:from>
    <xdr:to>
      <xdr:col>12</xdr:col>
      <xdr:colOff>487135</xdr:colOff>
      <xdr:row>17</xdr:row>
      <xdr:rowOff>23131</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18</xdr:row>
      <xdr:rowOff>38099</xdr:rowOff>
    </xdr:from>
    <xdr:to>
      <xdr:col>18</xdr:col>
      <xdr:colOff>447675</xdr:colOff>
      <xdr:row>36</xdr:row>
      <xdr:rowOff>180974</xdr:rowOff>
    </xdr:to>
    <xdr:graphicFrame macro="">
      <xdr:nvGraphicFramePr>
        <xdr:cNvPr id="3" name="Grafiek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323849</xdr:colOff>
      <xdr:row>42</xdr:row>
      <xdr:rowOff>161924</xdr:rowOff>
    </xdr:from>
    <xdr:to>
      <xdr:col>14</xdr:col>
      <xdr:colOff>542925</xdr:colOff>
      <xdr:row>62</xdr:row>
      <xdr:rowOff>57150</xdr:rowOff>
    </xdr:to>
    <xdr:graphicFrame macro="">
      <xdr:nvGraphicFramePr>
        <xdr:cNvPr id="4" name="Grafiek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485774</xdr:colOff>
      <xdr:row>15</xdr:row>
      <xdr:rowOff>104774</xdr:rowOff>
    </xdr:from>
    <xdr:to>
      <xdr:col>17</xdr:col>
      <xdr:colOff>133349</xdr:colOff>
      <xdr:row>38</xdr:row>
      <xdr:rowOff>104775</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9</xdr:col>
      <xdr:colOff>13335</xdr:colOff>
      <xdr:row>8</xdr:row>
      <xdr:rowOff>182879</xdr:rowOff>
    </xdr:from>
    <xdr:to>
      <xdr:col>17</xdr:col>
      <xdr:colOff>594360</xdr:colOff>
      <xdr:row>29</xdr:row>
      <xdr:rowOff>19050</xdr:rowOff>
    </xdr:to>
    <xdr:graphicFrame macro="">
      <xdr:nvGraphicFramePr>
        <xdr:cNvPr id="4" name="Grafiek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495301</xdr:colOff>
      <xdr:row>40</xdr:row>
      <xdr:rowOff>91440</xdr:rowOff>
    </xdr:from>
    <xdr:to>
      <xdr:col>14</xdr:col>
      <xdr:colOff>600076</xdr:colOff>
      <xdr:row>60</xdr:row>
      <xdr:rowOff>76200</xdr:rowOff>
    </xdr:to>
    <xdr:graphicFrame macro="">
      <xdr:nvGraphicFramePr>
        <xdr:cNvPr id="3" name="Grafiek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9</xdr:col>
      <xdr:colOff>604836</xdr:colOff>
      <xdr:row>13</xdr:row>
      <xdr:rowOff>152400</xdr:rowOff>
    </xdr:from>
    <xdr:to>
      <xdr:col>15</xdr:col>
      <xdr:colOff>542924</xdr:colOff>
      <xdr:row>32</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628650</xdr:colOff>
      <xdr:row>11</xdr:row>
      <xdr:rowOff>10885</xdr:rowOff>
    </xdr:from>
    <xdr:to>
      <xdr:col>17</xdr:col>
      <xdr:colOff>29935</xdr:colOff>
      <xdr:row>25</xdr:row>
      <xdr:rowOff>163285</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685800</xdr:colOff>
      <xdr:row>58</xdr:row>
      <xdr:rowOff>168728</xdr:rowOff>
    </xdr:from>
    <xdr:to>
      <xdr:col>13</xdr:col>
      <xdr:colOff>383721</xdr:colOff>
      <xdr:row>73</xdr:row>
      <xdr:rowOff>136071</xdr:rowOff>
    </xdr:to>
    <xdr:graphicFrame macro="">
      <xdr:nvGraphicFramePr>
        <xdr:cNvPr id="3" name="Grafiek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119061</xdr:colOff>
      <xdr:row>35</xdr:row>
      <xdr:rowOff>9525</xdr:rowOff>
    </xdr:from>
    <xdr:to>
      <xdr:col>15</xdr:col>
      <xdr:colOff>152399</xdr:colOff>
      <xdr:row>49</xdr:row>
      <xdr:rowOff>85725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100693</xdr:colOff>
      <xdr:row>7</xdr:row>
      <xdr:rowOff>73478</xdr:rowOff>
    </xdr:from>
    <xdr:to>
      <xdr:col>9</xdr:col>
      <xdr:colOff>100693</xdr:colOff>
      <xdr:row>22</xdr:row>
      <xdr:rowOff>40821</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639536</xdr:colOff>
      <xdr:row>15</xdr:row>
      <xdr:rowOff>8164</xdr:rowOff>
    </xdr:from>
    <xdr:to>
      <xdr:col>15</xdr:col>
      <xdr:colOff>503465</xdr:colOff>
      <xdr:row>29</xdr:row>
      <xdr:rowOff>160564</xdr:rowOff>
    </xdr:to>
    <xdr:graphicFrame macro="">
      <xdr:nvGraphicFramePr>
        <xdr:cNvPr id="3" name="Grafiek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26</xdr:col>
      <xdr:colOff>47624</xdr:colOff>
      <xdr:row>13</xdr:row>
      <xdr:rowOff>161925</xdr:rowOff>
    </xdr:from>
    <xdr:to>
      <xdr:col>31</xdr:col>
      <xdr:colOff>142875</xdr:colOff>
      <xdr:row>38</xdr:row>
      <xdr:rowOff>28575</xdr:rowOff>
    </xdr:to>
    <xdr:graphicFrame macro="">
      <xdr:nvGraphicFramePr>
        <xdr:cNvPr id="3" name="Grafiek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31</xdr:col>
      <xdr:colOff>251732</xdr:colOff>
      <xdr:row>13</xdr:row>
      <xdr:rowOff>179614</xdr:rowOff>
    </xdr:from>
    <xdr:to>
      <xdr:col>39</xdr:col>
      <xdr:colOff>423182</xdr:colOff>
      <xdr:row>37</xdr:row>
      <xdr:rowOff>179614</xdr:rowOff>
    </xdr:to>
    <xdr:graphicFrame macro="">
      <xdr:nvGraphicFramePr>
        <xdr:cNvPr id="4" name="Grafiek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361950</xdr:colOff>
      <xdr:row>39</xdr:row>
      <xdr:rowOff>19048</xdr:rowOff>
    </xdr:from>
    <xdr:to>
      <xdr:col>39</xdr:col>
      <xdr:colOff>476250</xdr:colOff>
      <xdr:row>69</xdr:row>
      <xdr:rowOff>19049</xdr:rowOff>
    </xdr:to>
    <xdr:graphicFrame macro="">
      <xdr:nvGraphicFramePr>
        <xdr:cNvPr id="5" name="Grafiek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40</xdr:col>
      <xdr:colOff>276224</xdr:colOff>
      <xdr:row>13</xdr:row>
      <xdr:rowOff>161924</xdr:rowOff>
    </xdr:from>
    <xdr:to>
      <xdr:col>50</xdr:col>
      <xdr:colOff>114299</xdr:colOff>
      <xdr:row>36</xdr:row>
      <xdr:rowOff>133350</xdr:rowOff>
    </xdr:to>
    <xdr:graphicFrame macro="">
      <xdr:nvGraphicFramePr>
        <xdr:cNvPr id="6" name="Grafiek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190500</xdr:colOff>
      <xdr:row>4</xdr:row>
      <xdr:rowOff>176892</xdr:rowOff>
    </xdr:from>
    <xdr:to>
      <xdr:col>6</xdr:col>
      <xdr:colOff>212271</xdr:colOff>
      <xdr:row>19</xdr:row>
      <xdr:rowOff>16328</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9525</xdr:colOff>
      <xdr:row>7</xdr:row>
      <xdr:rowOff>9525</xdr:rowOff>
    </xdr:from>
    <xdr:to>
      <xdr:col>10</xdr:col>
      <xdr:colOff>523875</xdr:colOff>
      <xdr:row>21</xdr:row>
      <xdr:rowOff>85725</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22</xdr:row>
      <xdr:rowOff>19050</xdr:rowOff>
    </xdr:from>
    <xdr:to>
      <xdr:col>10</xdr:col>
      <xdr:colOff>533400</xdr:colOff>
      <xdr:row>39</xdr:row>
      <xdr:rowOff>76200</xdr:rowOff>
    </xdr:to>
    <xdr:graphicFrame macro="">
      <xdr:nvGraphicFramePr>
        <xdr:cNvPr id="3" name="Grafiek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24492</xdr:colOff>
      <xdr:row>27</xdr:row>
      <xdr:rowOff>24491</xdr:rowOff>
    </xdr:from>
    <xdr:to>
      <xdr:col>18</xdr:col>
      <xdr:colOff>523875</xdr:colOff>
      <xdr:row>42</xdr:row>
      <xdr:rowOff>152400</xdr:rowOff>
    </xdr:to>
    <xdr:graphicFrame macro="">
      <xdr:nvGraphicFramePr>
        <xdr:cNvPr id="6" name="Grafiek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4081</xdr:colOff>
      <xdr:row>13</xdr:row>
      <xdr:rowOff>8163</xdr:rowOff>
    </xdr:from>
    <xdr:to>
      <xdr:col>13</xdr:col>
      <xdr:colOff>28575</xdr:colOff>
      <xdr:row>36</xdr:row>
      <xdr:rowOff>179614</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400050</xdr:colOff>
      <xdr:row>48</xdr:row>
      <xdr:rowOff>104774</xdr:rowOff>
    </xdr:from>
    <xdr:to>
      <xdr:col>13</xdr:col>
      <xdr:colOff>447675</xdr:colOff>
      <xdr:row>67</xdr:row>
      <xdr:rowOff>133350</xdr:rowOff>
    </xdr:to>
    <xdr:graphicFrame macro="">
      <xdr:nvGraphicFramePr>
        <xdr:cNvPr id="4" name="Grafiek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57150</xdr:colOff>
      <xdr:row>51</xdr:row>
      <xdr:rowOff>123824</xdr:rowOff>
    </xdr:from>
    <xdr:to>
      <xdr:col>23</xdr:col>
      <xdr:colOff>9525</xdr:colOff>
      <xdr:row>70</xdr:row>
      <xdr:rowOff>19050</xdr:rowOff>
    </xdr:to>
    <xdr:graphicFrame macro="">
      <xdr:nvGraphicFramePr>
        <xdr:cNvPr id="5" name="Grafiek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9525</xdr:colOff>
      <xdr:row>8</xdr:row>
      <xdr:rowOff>95250</xdr:rowOff>
    </xdr:from>
    <xdr:to>
      <xdr:col>10</xdr:col>
      <xdr:colOff>200025</xdr:colOff>
      <xdr:row>22</xdr:row>
      <xdr:rowOff>171450</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28575</xdr:colOff>
      <xdr:row>24</xdr:row>
      <xdr:rowOff>9525</xdr:rowOff>
    </xdr:from>
    <xdr:to>
      <xdr:col>10</xdr:col>
      <xdr:colOff>219075</xdr:colOff>
      <xdr:row>39</xdr:row>
      <xdr:rowOff>104775</xdr:rowOff>
    </xdr:to>
    <xdr:graphicFrame macro="">
      <xdr:nvGraphicFramePr>
        <xdr:cNvPr id="3" name="Grafiek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163"/>
  <sheetViews>
    <sheetView tabSelected="1" zoomScaleNormal="100" zoomScalePageLayoutView="125" workbookViewId="0">
      <pane ySplit="4" topLeftCell="A5" activePane="bottomLeft" state="frozen"/>
      <selection pane="bottomLeft" activeCell="A2" sqref="A2"/>
    </sheetView>
  </sheetViews>
  <sheetFormatPr defaultColWidth="8.7109375" defaultRowHeight="12" x14ac:dyDescent="0.2"/>
  <cols>
    <col min="1" max="1" width="33" style="2" customWidth="1"/>
    <col min="2" max="2" width="15" style="2" customWidth="1"/>
    <col min="3" max="3" width="18.5703125" style="2" customWidth="1"/>
    <col min="4" max="4" width="10.140625" style="2" customWidth="1"/>
    <col min="5" max="5" width="16.5703125" style="2" customWidth="1"/>
    <col min="6" max="6" width="10.5703125" style="3" customWidth="1"/>
    <col min="7" max="33" width="8.7109375" style="2" customWidth="1"/>
    <col min="34" max="34" width="8.7109375" style="3" customWidth="1"/>
    <col min="35" max="39" width="8.7109375" style="2" customWidth="1"/>
    <col min="40" max="40" width="8.7109375" style="3" customWidth="1"/>
    <col min="41" max="81" width="8.7109375" style="2" customWidth="1"/>
    <col min="82" max="82" width="8.7109375" style="3" customWidth="1"/>
    <col min="83" max="86" width="8.7109375" style="2" customWidth="1"/>
    <col min="87" max="87" width="8.7109375" style="3" customWidth="1"/>
    <col min="88" max="90" width="8.7109375" style="2" customWidth="1"/>
    <col min="91" max="91" width="9.140625" style="2" customWidth="1"/>
    <col min="92" max="92" width="8.7109375" style="2" customWidth="1"/>
    <col min="93" max="93" width="10.28515625" style="3" customWidth="1"/>
    <col min="94" max="94" width="12.7109375" style="2" customWidth="1"/>
    <col min="95" max="124" width="8.7109375" style="2" customWidth="1"/>
    <col min="125" max="133" width="8.7109375" style="3" customWidth="1"/>
    <col min="134" max="16384" width="8.7109375" style="2"/>
  </cols>
  <sheetData>
    <row r="1" spans="1:133" x14ac:dyDescent="0.2">
      <c r="A1" s="39" t="s">
        <v>597</v>
      </c>
      <c r="P1" s="3"/>
      <c r="Q1" s="3"/>
      <c r="R1" s="3"/>
      <c r="S1" s="3"/>
      <c r="Y1" s="3"/>
      <c r="Z1" s="3"/>
      <c r="AA1" s="3"/>
      <c r="AB1" s="3"/>
      <c r="AC1" s="3"/>
      <c r="AD1" s="3"/>
      <c r="AE1" s="3"/>
      <c r="AF1" s="3"/>
      <c r="AG1" s="3"/>
      <c r="AI1" s="3"/>
    </row>
    <row r="2" spans="1:133" x14ac:dyDescent="0.2">
      <c r="M2" s="3"/>
      <c r="P2" s="3"/>
      <c r="Q2" s="3"/>
      <c r="R2" s="3"/>
      <c r="S2" s="3"/>
      <c r="V2" s="3"/>
      <c r="Y2" s="3"/>
      <c r="Z2" s="3"/>
      <c r="AA2" s="3"/>
      <c r="AB2" s="3"/>
      <c r="AC2" s="3"/>
      <c r="AD2" s="3"/>
      <c r="AE2" s="3"/>
      <c r="AF2" s="3"/>
      <c r="AG2" s="3"/>
      <c r="AI2" s="3"/>
      <c r="AX2" s="3"/>
    </row>
    <row r="3" spans="1:133" x14ac:dyDescent="0.2">
      <c r="C3" s="2" t="s">
        <v>0</v>
      </c>
      <c r="D3" s="2" t="s">
        <v>1</v>
      </c>
      <c r="E3" s="78" t="s">
        <v>594</v>
      </c>
      <c r="F3" s="3" t="s">
        <v>2</v>
      </c>
      <c r="G3" s="2" t="s">
        <v>3</v>
      </c>
      <c r="H3" s="2" t="s">
        <v>4</v>
      </c>
      <c r="L3" s="78" t="s">
        <v>595</v>
      </c>
      <c r="M3" s="43" t="s">
        <v>544</v>
      </c>
      <c r="AK3" s="2" t="s">
        <v>5</v>
      </c>
      <c r="AL3" s="2" t="s">
        <v>6</v>
      </c>
      <c r="AM3" s="2" t="s">
        <v>7</v>
      </c>
      <c r="AN3" s="3" t="s">
        <v>8</v>
      </c>
      <c r="AO3" s="2" t="s">
        <v>9</v>
      </c>
      <c r="AP3" s="2" t="s">
        <v>10</v>
      </c>
      <c r="AQ3" s="2" t="s">
        <v>11</v>
      </c>
      <c r="AU3" s="2" t="s">
        <v>12</v>
      </c>
      <c r="AY3" s="2" t="s">
        <v>13</v>
      </c>
      <c r="BB3" s="2" t="s">
        <v>14</v>
      </c>
      <c r="BU3" s="78" t="s">
        <v>596</v>
      </c>
      <c r="CD3" s="3" t="s">
        <v>15</v>
      </c>
      <c r="CE3" s="2" t="s">
        <v>16</v>
      </c>
      <c r="CM3" s="2" t="s">
        <v>17</v>
      </c>
      <c r="CN3" s="2" t="s">
        <v>18</v>
      </c>
      <c r="CO3" s="3" t="s">
        <v>19</v>
      </c>
      <c r="CQ3" s="2" t="s">
        <v>20</v>
      </c>
      <c r="CS3" s="2" t="s">
        <v>21</v>
      </c>
      <c r="CU3" s="2" t="s">
        <v>22</v>
      </c>
      <c r="CW3" s="2" t="s">
        <v>23</v>
      </c>
      <c r="DF3" s="2" t="s">
        <v>24</v>
      </c>
      <c r="DG3" s="2" t="s">
        <v>25</v>
      </c>
      <c r="DP3" s="2" t="s">
        <v>26</v>
      </c>
      <c r="DQ3" s="2" t="s">
        <v>27</v>
      </c>
      <c r="DS3" s="2" t="s">
        <v>28</v>
      </c>
      <c r="DU3" s="3" t="s">
        <v>29</v>
      </c>
    </row>
    <row r="4" spans="1:133" s="6" customFormat="1" x14ac:dyDescent="0.2">
      <c r="A4" s="6" t="s">
        <v>210</v>
      </c>
      <c r="B4" s="6" t="s">
        <v>214</v>
      </c>
      <c r="C4" s="6" t="s">
        <v>168</v>
      </c>
      <c r="D4" s="6" t="s">
        <v>1</v>
      </c>
      <c r="E4" s="6" t="s">
        <v>169</v>
      </c>
      <c r="F4" s="7" t="s">
        <v>170</v>
      </c>
      <c r="G4" s="6" t="s">
        <v>171</v>
      </c>
      <c r="H4" s="6" t="s">
        <v>31</v>
      </c>
      <c r="I4" s="6" t="s">
        <v>32</v>
      </c>
      <c r="J4" s="6" t="s">
        <v>33</v>
      </c>
      <c r="K4" s="6" t="s">
        <v>34</v>
      </c>
      <c r="L4" s="6" t="s">
        <v>172</v>
      </c>
      <c r="M4" s="6" t="s">
        <v>173</v>
      </c>
      <c r="N4" s="6" t="s">
        <v>174</v>
      </c>
      <c r="O4" s="6" t="s">
        <v>175</v>
      </c>
      <c r="P4" s="6" t="s">
        <v>176</v>
      </c>
      <c r="Q4" s="6" t="s">
        <v>177</v>
      </c>
      <c r="R4" s="6" t="s">
        <v>178</v>
      </c>
      <c r="S4" s="6" t="s">
        <v>179</v>
      </c>
      <c r="T4" s="6" t="s">
        <v>180</v>
      </c>
      <c r="U4" s="6" t="s">
        <v>181</v>
      </c>
      <c r="V4" s="6" t="s">
        <v>182</v>
      </c>
      <c r="W4" s="6" t="s">
        <v>183</v>
      </c>
      <c r="X4" s="6" t="s">
        <v>184</v>
      </c>
      <c r="Y4" s="6" t="s">
        <v>185</v>
      </c>
      <c r="Z4" s="6" t="s">
        <v>186</v>
      </c>
      <c r="AA4" s="6" t="s">
        <v>187</v>
      </c>
      <c r="AB4" s="6" t="s">
        <v>188</v>
      </c>
      <c r="AC4" s="6" t="s">
        <v>189</v>
      </c>
      <c r="AD4" s="6" t="s">
        <v>190</v>
      </c>
      <c r="AE4" s="6" t="s">
        <v>191</v>
      </c>
      <c r="AF4" s="6" t="s">
        <v>192</v>
      </c>
      <c r="AG4" s="6" t="s">
        <v>193</v>
      </c>
      <c r="AH4" s="7" t="s">
        <v>194</v>
      </c>
      <c r="AI4" s="6" t="s">
        <v>195</v>
      </c>
      <c r="AJ4" s="6" t="s">
        <v>196</v>
      </c>
      <c r="AK4" s="6" t="s">
        <v>197</v>
      </c>
      <c r="AL4" s="6" t="s">
        <v>198</v>
      </c>
      <c r="AM4" s="6" t="s">
        <v>199</v>
      </c>
      <c r="AN4" s="7" t="s">
        <v>200</v>
      </c>
      <c r="AO4" s="6" t="s">
        <v>201</v>
      </c>
      <c r="AP4" s="6" t="s">
        <v>202</v>
      </c>
      <c r="AQ4" s="6" t="s">
        <v>36</v>
      </c>
      <c r="AR4" s="6" t="s">
        <v>37</v>
      </c>
      <c r="AS4" s="6" t="s">
        <v>38</v>
      </c>
      <c r="AT4" s="6" t="s">
        <v>39</v>
      </c>
      <c r="AU4" s="6" t="s">
        <v>36</v>
      </c>
      <c r="AV4" s="6" t="s">
        <v>37</v>
      </c>
      <c r="AW4" s="6" t="s">
        <v>38</v>
      </c>
      <c r="AX4" s="6" t="s">
        <v>39</v>
      </c>
      <c r="AY4" s="6" t="s">
        <v>40</v>
      </c>
      <c r="AZ4" s="6" t="s">
        <v>41</v>
      </c>
      <c r="BA4" s="6" t="s">
        <v>42</v>
      </c>
      <c r="BB4" s="6" t="s">
        <v>43</v>
      </c>
      <c r="BC4" s="6" t="s">
        <v>44</v>
      </c>
      <c r="BD4" s="6" t="s">
        <v>45</v>
      </c>
      <c r="BE4" s="6" t="s">
        <v>46</v>
      </c>
      <c r="BF4" s="6" t="s">
        <v>47</v>
      </c>
      <c r="BG4" s="6" t="s">
        <v>48</v>
      </c>
      <c r="BH4" s="6" t="s">
        <v>49</v>
      </c>
      <c r="BI4" s="6" t="s">
        <v>50</v>
      </c>
      <c r="BJ4" s="6" t="s">
        <v>51</v>
      </c>
      <c r="BK4" s="6" t="s">
        <v>52</v>
      </c>
      <c r="BL4" s="6" t="s">
        <v>53</v>
      </c>
      <c r="BM4" s="6" t="s">
        <v>54</v>
      </c>
      <c r="BN4" s="6" t="s">
        <v>55</v>
      </c>
      <c r="BO4" s="6" t="s">
        <v>56</v>
      </c>
      <c r="BP4" s="6" t="s">
        <v>57</v>
      </c>
      <c r="BQ4" s="6" t="s">
        <v>58</v>
      </c>
      <c r="BR4" s="6" t="s">
        <v>59</v>
      </c>
      <c r="BS4" s="6" t="s">
        <v>60</v>
      </c>
      <c r="BT4" s="6" t="s">
        <v>61</v>
      </c>
      <c r="BU4" s="6" t="s">
        <v>62</v>
      </c>
      <c r="BV4" s="6" t="s">
        <v>63</v>
      </c>
      <c r="BW4" s="6" t="s">
        <v>64</v>
      </c>
      <c r="BX4" s="6" t="s">
        <v>65</v>
      </c>
      <c r="BY4" s="6" t="s">
        <v>66</v>
      </c>
      <c r="BZ4" s="6" t="s">
        <v>67</v>
      </c>
      <c r="CA4" s="6" t="s">
        <v>68</v>
      </c>
      <c r="CB4" s="6" t="s">
        <v>69</v>
      </c>
      <c r="CC4" s="6" t="s">
        <v>70</v>
      </c>
      <c r="CD4" s="7" t="s">
        <v>203</v>
      </c>
      <c r="CE4" s="6" t="s">
        <v>71</v>
      </c>
      <c r="CF4" s="6" t="s">
        <v>72</v>
      </c>
      <c r="CG4" s="6" t="s">
        <v>73</v>
      </c>
      <c r="CH4" s="6" t="s">
        <v>74</v>
      </c>
      <c r="CI4" s="7" t="s">
        <v>165</v>
      </c>
      <c r="CJ4" s="6" t="s">
        <v>75</v>
      </c>
      <c r="CK4" s="6" t="s">
        <v>76</v>
      </c>
      <c r="CL4" s="6" t="s">
        <v>30</v>
      </c>
      <c r="CM4" s="6" t="s">
        <v>204</v>
      </c>
      <c r="CN4" s="6" t="s">
        <v>205</v>
      </c>
      <c r="CO4" s="7" t="s">
        <v>77</v>
      </c>
      <c r="CP4" s="6" t="s">
        <v>78</v>
      </c>
      <c r="CQ4" s="6" t="s">
        <v>79</v>
      </c>
      <c r="CR4" s="6" t="s">
        <v>80</v>
      </c>
      <c r="CS4" s="6" t="s">
        <v>81</v>
      </c>
      <c r="CT4" s="6" t="s">
        <v>82</v>
      </c>
      <c r="CU4" s="6" t="s">
        <v>83</v>
      </c>
      <c r="CV4" s="6" t="s">
        <v>84</v>
      </c>
      <c r="CW4" s="6" t="s">
        <v>85</v>
      </c>
      <c r="CX4" s="6" t="s">
        <v>86</v>
      </c>
      <c r="CY4" s="6" t="s">
        <v>87</v>
      </c>
      <c r="CZ4" s="6" t="s">
        <v>88</v>
      </c>
      <c r="DA4" s="6" t="s">
        <v>89</v>
      </c>
      <c r="DB4" s="6" t="s">
        <v>90</v>
      </c>
      <c r="DC4" s="6" t="s">
        <v>91</v>
      </c>
      <c r="DD4" s="6" t="s">
        <v>92</v>
      </c>
      <c r="DE4" s="6" t="s">
        <v>93</v>
      </c>
      <c r="DF4" s="6" t="s">
        <v>35</v>
      </c>
      <c r="DG4" s="6" t="s">
        <v>94</v>
      </c>
      <c r="DH4" s="6" t="s">
        <v>95</v>
      </c>
      <c r="DI4" s="6" t="s">
        <v>96</v>
      </c>
      <c r="DJ4" s="6" t="s">
        <v>97</v>
      </c>
      <c r="DK4" s="6" t="s">
        <v>98</v>
      </c>
      <c r="DL4" s="6" t="s">
        <v>99</v>
      </c>
      <c r="DM4" s="6" t="s">
        <v>100</v>
      </c>
      <c r="DN4" s="6" t="s">
        <v>101</v>
      </c>
      <c r="DO4" s="6" t="s">
        <v>93</v>
      </c>
      <c r="DP4" s="6" t="s">
        <v>35</v>
      </c>
      <c r="DQ4" s="6" t="s">
        <v>206</v>
      </c>
      <c r="DR4" s="6" t="s">
        <v>207</v>
      </c>
      <c r="DS4" s="6" t="s">
        <v>208</v>
      </c>
      <c r="DT4" s="6" t="s">
        <v>209</v>
      </c>
      <c r="DU4" s="7" t="s">
        <v>102</v>
      </c>
      <c r="DV4" s="7" t="s">
        <v>103</v>
      </c>
      <c r="DW4" s="7" t="s">
        <v>104</v>
      </c>
      <c r="DX4" s="7" t="s">
        <v>105</v>
      </c>
      <c r="DY4" s="7" t="s">
        <v>106</v>
      </c>
      <c r="DZ4" s="7" t="s">
        <v>107</v>
      </c>
      <c r="EA4" s="7" t="s">
        <v>108</v>
      </c>
      <c r="EB4" s="7" t="s">
        <v>30</v>
      </c>
      <c r="EC4" s="7" t="s">
        <v>30</v>
      </c>
    </row>
    <row r="5" spans="1:133" x14ac:dyDescent="0.2">
      <c r="A5" s="2" t="s">
        <v>211</v>
      </c>
      <c r="B5" s="2" t="s">
        <v>236</v>
      </c>
      <c r="C5" s="2" t="s">
        <v>166</v>
      </c>
      <c r="D5" s="2" t="s">
        <v>109</v>
      </c>
      <c r="E5" s="2" t="s">
        <v>122</v>
      </c>
      <c r="F5" s="3">
        <v>5</v>
      </c>
      <c r="G5" s="2" t="s">
        <v>111</v>
      </c>
      <c r="L5" s="2" t="s">
        <v>109</v>
      </c>
      <c r="M5" s="2" t="s">
        <v>109</v>
      </c>
      <c r="N5" s="2" t="s">
        <v>109</v>
      </c>
      <c r="O5" s="2" t="s">
        <v>111</v>
      </c>
      <c r="P5" s="2" t="s">
        <v>109</v>
      </c>
      <c r="Q5" s="2" t="s">
        <v>109</v>
      </c>
      <c r="R5" s="2" t="s">
        <v>111</v>
      </c>
      <c r="S5" s="2" t="s">
        <v>109</v>
      </c>
      <c r="T5" s="2" t="s">
        <v>111</v>
      </c>
      <c r="U5" s="2" t="s">
        <v>111</v>
      </c>
      <c r="V5" s="2" t="s">
        <v>109</v>
      </c>
      <c r="W5" s="2" t="s">
        <v>109</v>
      </c>
      <c r="X5" s="2" t="s">
        <v>111</v>
      </c>
      <c r="Y5" s="2" t="s">
        <v>109</v>
      </c>
      <c r="Z5" s="2" t="s">
        <v>111</v>
      </c>
      <c r="AA5" s="2" t="s">
        <v>111</v>
      </c>
      <c r="AB5" s="2" t="s">
        <v>111</v>
      </c>
      <c r="AC5" s="2" t="s">
        <v>111</v>
      </c>
      <c r="AD5" s="2" t="s">
        <v>109</v>
      </c>
      <c r="AE5" s="2" t="s">
        <v>109</v>
      </c>
      <c r="AF5" s="2" t="s">
        <v>111</v>
      </c>
      <c r="AG5" s="2" t="s">
        <v>111</v>
      </c>
      <c r="AH5" s="3" t="s">
        <v>111</v>
      </c>
      <c r="AI5" s="2" t="s">
        <v>111</v>
      </c>
      <c r="AJ5" s="2" t="s">
        <v>109</v>
      </c>
      <c r="AK5" s="2">
        <v>10</v>
      </c>
      <c r="AL5" s="2">
        <v>5</v>
      </c>
      <c r="AM5" s="2">
        <v>50</v>
      </c>
      <c r="AN5" s="3" t="s">
        <v>109</v>
      </c>
      <c r="AO5" s="2">
        <v>80</v>
      </c>
      <c r="AP5" s="2">
        <v>50</v>
      </c>
      <c r="AQ5" s="2">
        <v>5</v>
      </c>
      <c r="AR5" s="2">
        <v>10</v>
      </c>
      <c r="AS5" s="2">
        <v>10</v>
      </c>
      <c r="AT5" s="2">
        <v>75</v>
      </c>
      <c r="AV5" s="2">
        <v>90</v>
      </c>
      <c r="AW5" s="2">
        <v>5</v>
      </c>
      <c r="AX5" s="2">
        <v>5</v>
      </c>
      <c r="AY5" s="2">
        <v>70</v>
      </c>
      <c r="AZ5" s="2">
        <v>1</v>
      </c>
      <c r="BA5" s="2">
        <v>29</v>
      </c>
      <c r="BB5" s="2">
        <v>50</v>
      </c>
      <c r="BC5" s="2">
        <v>50</v>
      </c>
      <c r="BE5" s="2">
        <v>50</v>
      </c>
      <c r="BG5" s="2">
        <v>50</v>
      </c>
      <c r="BI5" s="2">
        <v>50</v>
      </c>
      <c r="BU5" s="2">
        <v>8</v>
      </c>
      <c r="BV5" s="2">
        <v>8</v>
      </c>
      <c r="BW5" s="2">
        <v>8</v>
      </c>
      <c r="BX5" s="2">
        <v>4</v>
      </c>
      <c r="BY5" s="2">
        <v>8</v>
      </c>
      <c r="BZ5" s="2">
        <v>10</v>
      </c>
      <c r="CA5" s="2">
        <v>3</v>
      </c>
      <c r="CD5" s="3" t="s">
        <v>111</v>
      </c>
      <c r="CN5" s="2" t="s">
        <v>117</v>
      </c>
      <c r="DQ5" s="2">
        <v>0.1</v>
      </c>
      <c r="DS5" s="2">
        <v>2016</v>
      </c>
      <c r="DU5" s="3" t="s">
        <v>109</v>
      </c>
      <c r="DV5" s="3" t="s">
        <v>111</v>
      </c>
      <c r="DW5" s="3" t="s">
        <v>111</v>
      </c>
      <c r="DX5" s="3" t="s">
        <v>111</v>
      </c>
      <c r="DY5" s="3" t="s">
        <v>111</v>
      </c>
      <c r="DZ5" s="3" t="s">
        <v>111</v>
      </c>
      <c r="EA5" s="3" t="s">
        <v>111</v>
      </c>
      <c r="EB5" s="3" t="s">
        <v>111</v>
      </c>
    </row>
    <row r="6" spans="1:133" x14ac:dyDescent="0.2">
      <c r="A6" s="2" t="s">
        <v>216</v>
      </c>
      <c r="B6" s="2" t="s">
        <v>238</v>
      </c>
      <c r="C6" s="2" t="s">
        <v>166</v>
      </c>
      <c r="D6" s="2" t="s">
        <v>109</v>
      </c>
      <c r="E6" s="2" t="s">
        <v>110</v>
      </c>
      <c r="F6" s="3">
        <v>1</v>
      </c>
      <c r="G6" s="2" t="s">
        <v>111</v>
      </c>
      <c r="L6" s="2" t="s">
        <v>111</v>
      </c>
      <c r="M6" s="2" t="s">
        <v>109</v>
      </c>
      <c r="N6" s="2" t="s">
        <v>111</v>
      </c>
      <c r="O6" s="2" t="s">
        <v>111</v>
      </c>
      <c r="P6" s="2" t="s">
        <v>109</v>
      </c>
      <c r="Q6" s="2" t="s">
        <v>111</v>
      </c>
      <c r="R6" s="2" t="s">
        <v>111</v>
      </c>
      <c r="S6" s="2" t="s">
        <v>109</v>
      </c>
      <c r="T6" s="2" t="s">
        <v>109</v>
      </c>
      <c r="U6" s="2" t="s">
        <v>111</v>
      </c>
      <c r="V6" s="2" t="s">
        <v>109</v>
      </c>
      <c r="W6" s="2" t="s">
        <v>111</v>
      </c>
      <c r="X6" s="2" t="s">
        <v>111</v>
      </c>
      <c r="Y6" s="2" t="s">
        <v>111</v>
      </c>
      <c r="Z6" s="2" t="s">
        <v>111</v>
      </c>
      <c r="AA6" s="2" t="s">
        <v>109</v>
      </c>
      <c r="AE6" s="2" t="s">
        <v>111</v>
      </c>
      <c r="AF6" s="2" t="s">
        <v>111</v>
      </c>
      <c r="AG6" s="2" t="s">
        <v>109</v>
      </c>
      <c r="AH6" s="3" t="s">
        <v>111</v>
      </c>
      <c r="AI6" s="2" t="s">
        <v>111</v>
      </c>
      <c r="AJ6" s="2" t="s">
        <v>109</v>
      </c>
      <c r="AK6" s="2">
        <v>80</v>
      </c>
      <c r="AL6" s="2">
        <v>5</v>
      </c>
      <c r="AM6" s="2">
        <v>95</v>
      </c>
      <c r="AN6" s="3" t="s">
        <v>111</v>
      </c>
    </row>
    <row r="7" spans="1:133" x14ac:dyDescent="0.2">
      <c r="A7" s="8" t="s">
        <v>224</v>
      </c>
      <c r="B7" s="2" t="s">
        <v>238</v>
      </c>
      <c r="C7" s="2" t="s">
        <v>166</v>
      </c>
      <c r="D7" s="2" t="s">
        <v>109</v>
      </c>
      <c r="E7" s="2" t="s">
        <v>118</v>
      </c>
      <c r="F7" s="3">
        <v>6</v>
      </c>
      <c r="G7" s="2" t="s">
        <v>111</v>
      </c>
      <c r="L7" s="2" t="s">
        <v>111</v>
      </c>
      <c r="M7" s="2" t="s">
        <v>109</v>
      </c>
      <c r="N7" s="2" t="s">
        <v>109</v>
      </c>
      <c r="O7" s="2" t="s">
        <v>111</v>
      </c>
      <c r="P7" s="2" t="s">
        <v>109</v>
      </c>
      <c r="Q7" s="2" t="s">
        <v>109</v>
      </c>
      <c r="R7" s="2" t="s">
        <v>111</v>
      </c>
      <c r="S7" s="2" t="s">
        <v>109</v>
      </c>
      <c r="T7" s="2" t="s">
        <v>109</v>
      </c>
      <c r="U7" s="2" t="s">
        <v>111</v>
      </c>
      <c r="V7" s="2" t="s">
        <v>109</v>
      </c>
      <c r="W7" s="2" t="s">
        <v>109</v>
      </c>
      <c r="X7" s="2" t="s">
        <v>111</v>
      </c>
      <c r="Y7" s="2" t="s">
        <v>109</v>
      </c>
      <c r="Z7" s="2" t="s">
        <v>109</v>
      </c>
      <c r="AA7" s="2" t="s">
        <v>111</v>
      </c>
      <c r="AE7" s="2" t="s">
        <v>109</v>
      </c>
      <c r="AF7" s="2" t="s">
        <v>109</v>
      </c>
      <c r="AG7" s="2" t="s">
        <v>111</v>
      </c>
      <c r="AH7" s="3" t="s">
        <v>109</v>
      </c>
      <c r="AI7" s="2" t="s">
        <v>109</v>
      </c>
      <c r="AJ7" s="2" t="s">
        <v>111</v>
      </c>
      <c r="AK7" s="2">
        <v>64</v>
      </c>
      <c r="AL7" s="2">
        <v>71</v>
      </c>
      <c r="AM7" s="2">
        <v>29</v>
      </c>
      <c r="AN7" s="3" t="s">
        <v>109</v>
      </c>
      <c r="AO7" s="2">
        <v>10</v>
      </c>
      <c r="AP7" s="2">
        <v>5</v>
      </c>
      <c r="AQ7" s="2">
        <v>15</v>
      </c>
      <c r="AR7" s="2">
        <v>15</v>
      </c>
      <c r="AS7" s="2">
        <v>20</v>
      </c>
      <c r="AT7" s="2">
        <v>50</v>
      </c>
      <c r="AU7" s="2">
        <v>10</v>
      </c>
      <c r="AV7" s="2">
        <v>20</v>
      </c>
      <c r="AW7" s="2">
        <v>30</v>
      </c>
      <c r="AX7" s="2">
        <v>40</v>
      </c>
      <c r="AY7" s="2">
        <v>80</v>
      </c>
      <c r="AZ7" s="2">
        <v>20</v>
      </c>
      <c r="BU7" s="2">
        <v>3</v>
      </c>
      <c r="BV7" s="2">
        <v>2</v>
      </c>
      <c r="BW7" s="2">
        <v>6</v>
      </c>
      <c r="BX7" s="2">
        <v>1</v>
      </c>
      <c r="BY7" s="2">
        <v>1</v>
      </c>
      <c r="BZ7" s="2">
        <v>2</v>
      </c>
      <c r="CA7" s="2">
        <v>2</v>
      </c>
      <c r="CB7" s="2">
        <v>2</v>
      </c>
      <c r="CD7" s="3" t="s">
        <v>111</v>
      </c>
      <c r="CN7" s="2" t="s">
        <v>117</v>
      </c>
      <c r="CO7" s="3">
        <v>10000</v>
      </c>
      <c r="CP7" s="2">
        <v>0</v>
      </c>
      <c r="CQ7" s="2">
        <v>2016</v>
      </c>
      <c r="CR7" s="2">
        <v>2016</v>
      </c>
      <c r="CS7" s="2">
        <v>0</v>
      </c>
      <c r="CT7" s="2">
        <v>100</v>
      </c>
      <c r="CU7" s="2">
        <v>100</v>
      </c>
      <c r="CV7" s="2">
        <v>0</v>
      </c>
      <c r="CW7" s="2">
        <v>0</v>
      </c>
      <c r="CX7" s="2">
        <v>0</v>
      </c>
      <c r="CY7" s="2">
        <v>0</v>
      </c>
      <c r="CZ7" s="2">
        <v>0</v>
      </c>
      <c r="DA7" s="2">
        <v>80</v>
      </c>
      <c r="DB7" s="2">
        <v>0</v>
      </c>
      <c r="DC7" s="2">
        <v>0</v>
      </c>
      <c r="DD7" s="2">
        <v>20</v>
      </c>
      <c r="DE7" s="2">
        <v>0</v>
      </c>
      <c r="DG7" s="2">
        <v>100</v>
      </c>
      <c r="DH7" s="2">
        <v>0</v>
      </c>
      <c r="DI7" s="2">
        <v>0</v>
      </c>
      <c r="DJ7" s="2">
        <v>0</v>
      </c>
      <c r="DK7" s="2">
        <v>0</v>
      </c>
      <c r="DL7" s="2">
        <v>0</v>
      </c>
      <c r="DM7" s="2">
        <v>0</v>
      </c>
      <c r="DN7" s="2">
        <v>0</v>
      </c>
      <c r="DO7" s="2">
        <v>0</v>
      </c>
      <c r="DQ7" s="2">
        <v>1</v>
      </c>
      <c r="DR7" s="2">
        <v>2</v>
      </c>
      <c r="DS7" s="2">
        <v>2016</v>
      </c>
      <c r="DT7" s="2">
        <v>2016</v>
      </c>
      <c r="DU7" s="3" t="s">
        <v>109</v>
      </c>
      <c r="DV7" s="3" t="s">
        <v>111</v>
      </c>
      <c r="DW7" s="3" t="s">
        <v>111</v>
      </c>
      <c r="DX7" s="3" t="s">
        <v>109</v>
      </c>
      <c r="DY7" s="3" t="s">
        <v>111</v>
      </c>
      <c r="DZ7" s="3" t="s">
        <v>109</v>
      </c>
      <c r="EA7" s="3" t="s">
        <v>111</v>
      </c>
      <c r="EB7" s="3" t="s">
        <v>111</v>
      </c>
      <c r="EC7" s="3" t="s">
        <v>111</v>
      </c>
    </row>
    <row r="8" spans="1:133" x14ac:dyDescent="0.2">
      <c r="A8" s="2" t="s">
        <v>229</v>
      </c>
      <c r="B8" s="2" t="s">
        <v>215</v>
      </c>
      <c r="C8" s="2" t="s">
        <v>166</v>
      </c>
      <c r="D8" s="2" t="s">
        <v>109</v>
      </c>
      <c r="E8" s="2" t="s">
        <v>114</v>
      </c>
      <c r="F8" s="3">
        <v>70</v>
      </c>
      <c r="G8" s="2" t="s">
        <v>109</v>
      </c>
      <c r="H8" s="2" t="s">
        <v>109</v>
      </c>
      <c r="I8" s="2" t="s">
        <v>109</v>
      </c>
      <c r="J8" s="2" t="s">
        <v>109</v>
      </c>
      <c r="K8" s="2" t="s">
        <v>109</v>
      </c>
      <c r="L8" s="2" t="s">
        <v>109</v>
      </c>
      <c r="M8" s="2" t="s">
        <v>109</v>
      </c>
      <c r="N8" s="2" t="s">
        <v>109</v>
      </c>
      <c r="O8" s="2" t="s">
        <v>111</v>
      </c>
      <c r="P8" s="2" t="s">
        <v>109</v>
      </c>
      <c r="Q8" s="2" t="s">
        <v>109</v>
      </c>
      <c r="R8" s="2" t="s">
        <v>111</v>
      </c>
      <c r="S8" s="2" t="s">
        <v>109</v>
      </c>
      <c r="T8" s="2" t="s">
        <v>109</v>
      </c>
      <c r="U8" s="2" t="s">
        <v>111</v>
      </c>
      <c r="V8" s="2" t="s">
        <v>109</v>
      </c>
      <c r="W8" s="2" t="s">
        <v>109</v>
      </c>
      <c r="X8" s="2" t="s">
        <v>111</v>
      </c>
      <c r="AE8" s="2" t="s">
        <v>111</v>
      </c>
      <c r="AF8" s="2" t="s">
        <v>109</v>
      </c>
      <c r="AG8" s="2" t="s">
        <v>111</v>
      </c>
      <c r="AH8" s="3" t="s">
        <v>111</v>
      </c>
      <c r="AI8" s="2" t="s">
        <v>109</v>
      </c>
      <c r="AJ8" s="2" t="s">
        <v>111</v>
      </c>
      <c r="AK8" s="2">
        <v>61</v>
      </c>
      <c r="AL8" s="2">
        <v>49</v>
      </c>
      <c r="AM8" s="2">
        <v>49</v>
      </c>
      <c r="AN8" s="3" t="s">
        <v>109</v>
      </c>
    </row>
    <row r="9" spans="1:133" x14ac:dyDescent="0.2">
      <c r="A9" s="2" t="s">
        <v>216</v>
      </c>
      <c r="B9" s="2" t="s">
        <v>238</v>
      </c>
      <c r="C9" s="2" t="s">
        <v>166</v>
      </c>
      <c r="D9" s="2" t="s">
        <v>109</v>
      </c>
      <c r="E9" s="2" t="s">
        <v>118</v>
      </c>
      <c r="F9" s="3">
        <v>7</v>
      </c>
      <c r="G9" s="2" t="s">
        <v>109</v>
      </c>
      <c r="H9" s="2" t="s">
        <v>109</v>
      </c>
      <c r="I9" s="2" t="s">
        <v>109</v>
      </c>
      <c r="J9" s="2" t="s">
        <v>109</v>
      </c>
      <c r="K9" s="2" t="s">
        <v>111</v>
      </c>
      <c r="L9" s="2" t="s">
        <v>109</v>
      </c>
      <c r="M9" s="2" t="s">
        <v>109</v>
      </c>
      <c r="N9" s="2" t="s">
        <v>111</v>
      </c>
      <c r="O9" s="2" t="s">
        <v>111</v>
      </c>
      <c r="P9" s="2" t="s">
        <v>109</v>
      </c>
      <c r="Q9" s="2" t="s">
        <v>111</v>
      </c>
      <c r="R9" s="2" t="s">
        <v>111</v>
      </c>
      <c r="S9" s="2" t="s">
        <v>109</v>
      </c>
      <c r="T9" s="2" t="s">
        <v>111</v>
      </c>
      <c r="U9" s="2" t="s">
        <v>111</v>
      </c>
      <c r="V9" s="2" t="s">
        <v>109</v>
      </c>
      <c r="W9" s="2" t="s">
        <v>109</v>
      </c>
      <c r="X9" s="2" t="s">
        <v>111</v>
      </c>
      <c r="Y9" s="2" t="s">
        <v>111</v>
      </c>
      <c r="Z9" s="2" t="s">
        <v>111</v>
      </c>
      <c r="AA9" s="2" t="s">
        <v>109</v>
      </c>
      <c r="AB9" s="2" t="s">
        <v>111</v>
      </c>
      <c r="AC9" s="2" t="s">
        <v>111</v>
      </c>
      <c r="AD9" s="2" t="s">
        <v>109</v>
      </c>
      <c r="AE9" s="2" t="s">
        <v>109</v>
      </c>
      <c r="AF9" s="2" t="s">
        <v>111</v>
      </c>
      <c r="AG9" s="2" t="s">
        <v>111</v>
      </c>
      <c r="AH9" s="3" t="s">
        <v>109</v>
      </c>
      <c r="AI9" s="2" t="s">
        <v>109</v>
      </c>
      <c r="AJ9" s="2" t="s">
        <v>111</v>
      </c>
      <c r="AK9" s="2">
        <v>60</v>
      </c>
      <c r="AL9" s="2">
        <v>60</v>
      </c>
      <c r="AM9" s="2">
        <v>20</v>
      </c>
      <c r="AN9" s="3" t="s">
        <v>109</v>
      </c>
      <c r="AO9" s="2">
        <v>60</v>
      </c>
      <c r="AP9" s="2">
        <v>80</v>
      </c>
      <c r="AQ9" s="2">
        <v>10</v>
      </c>
      <c r="AR9" s="2">
        <v>40</v>
      </c>
      <c r="AS9" s="2">
        <v>40</v>
      </c>
      <c r="AT9" s="2">
        <v>10</v>
      </c>
      <c r="AU9" s="2">
        <v>20</v>
      </c>
      <c r="AV9" s="2">
        <v>70</v>
      </c>
      <c r="AW9" s="2">
        <v>10</v>
      </c>
      <c r="AY9" s="2">
        <v>100</v>
      </c>
      <c r="AZ9" s="2">
        <v>40</v>
      </c>
      <c r="BA9" s="2">
        <v>60</v>
      </c>
      <c r="BB9" s="2">
        <v>60</v>
      </c>
      <c r="BC9" s="2">
        <v>62</v>
      </c>
      <c r="BE9" s="2">
        <v>100</v>
      </c>
      <c r="BF9" s="2">
        <v>100</v>
      </c>
      <c r="BG9" s="2">
        <v>100</v>
      </c>
      <c r="BT9" s="2" t="s">
        <v>164</v>
      </c>
      <c r="BU9" s="2">
        <v>10</v>
      </c>
      <c r="BV9" s="2">
        <v>3</v>
      </c>
      <c r="BW9" s="2">
        <v>8</v>
      </c>
      <c r="BX9" s="2">
        <v>3</v>
      </c>
      <c r="BY9" s="2">
        <v>8</v>
      </c>
      <c r="BZ9" s="2">
        <v>5</v>
      </c>
      <c r="CA9" s="2">
        <v>3</v>
      </c>
      <c r="CD9" s="3" t="s">
        <v>111</v>
      </c>
      <c r="CN9" s="2" t="s">
        <v>117</v>
      </c>
      <c r="CO9" s="3">
        <v>15000</v>
      </c>
      <c r="CP9" s="2">
        <v>0</v>
      </c>
      <c r="CQ9" s="2">
        <v>2016</v>
      </c>
      <c r="CR9" s="2">
        <v>2016</v>
      </c>
      <c r="CS9" s="2">
        <v>10</v>
      </c>
      <c r="CT9" s="2">
        <v>90</v>
      </c>
      <c r="CU9" s="2">
        <v>10</v>
      </c>
      <c r="CV9" s="2">
        <v>90</v>
      </c>
      <c r="CW9" s="2">
        <v>10</v>
      </c>
      <c r="CX9" s="2">
        <v>20</v>
      </c>
      <c r="CY9" s="2">
        <v>0</v>
      </c>
      <c r="CZ9" s="2">
        <v>20</v>
      </c>
      <c r="DA9" s="2">
        <v>10</v>
      </c>
      <c r="DB9" s="2">
        <v>5</v>
      </c>
      <c r="DC9" s="2">
        <v>5</v>
      </c>
      <c r="DD9" s="2">
        <v>20</v>
      </c>
      <c r="DE9" s="2">
        <v>10</v>
      </c>
    </row>
    <row r="10" spans="1:133" x14ac:dyDescent="0.2">
      <c r="A10" s="2" t="s">
        <v>211</v>
      </c>
      <c r="B10" s="2" t="s">
        <v>236</v>
      </c>
      <c r="C10" s="2" t="s">
        <v>166</v>
      </c>
      <c r="D10" s="2" t="s">
        <v>109</v>
      </c>
      <c r="E10" s="2" t="s">
        <v>112</v>
      </c>
      <c r="F10" s="3">
        <v>4</v>
      </c>
      <c r="G10" s="2" t="s">
        <v>109</v>
      </c>
      <c r="H10" s="2" t="s">
        <v>109</v>
      </c>
      <c r="I10" s="2" t="s">
        <v>111</v>
      </c>
      <c r="J10" s="2" t="s">
        <v>109</v>
      </c>
      <c r="K10" s="2" t="s">
        <v>111</v>
      </c>
      <c r="L10" s="2" t="s">
        <v>109</v>
      </c>
      <c r="M10" s="2" t="s">
        <v>109</v>
      </c>
      <c r="N10" s="2" t="s">
        <v>111</v>
      </c>
      <c r="O10" s="2" t="s">
        <v>111</v>
      </c>
      <c r="P10" s="2" t="s">
        <v>109</v>
      </c>
      <c r="Q10" s="2" t="s">
        <v>109</v>
      </c>
      <c r="R10" s="2" t="s">
        <v>111</v>
      </c>
      <c r="S10" s="2" t="s">
        <v>109</v>
      </c>
      <c r="T10" s="2" t="s">
        <v>109</v>
      </c>
      <c r="U10" s="2" t="s">
        <v>111</v>
      </c>
      <c r="V10" s="2" t="s">
        <v>111</v>
      </c>
      <c r="W10" s="2" t="s">
        <v>111</v>
      </c>
      <c r="X10" s="2" t="s">
        <v>109</v>
      </c>
      <c r="Y10" s="2" t="s">
        <v>111</v>
      </c>
      <c r="Z10" s="2" t="s">
        <v>111</v>
      </c>
      <c r="AA10" s="2" t="s">
        <v>109</v>
      </c>
      <c r="AB10" s="2" t="s">
        <v>109</v>
      </c>
      <c r="AC10" s="2" t="s">
        <v>109</v>
      </c>
      <c r="AD10" s="2" t="s">
        <v>111</v>
      </c>
      <c r="AE10" s="2" t="s">
        <v>109</v>
      </c>
      <c r="AF10" s="2" t="s">
        <v>109</v>
      </c>
      <c r="AG10" s="2" t="s">
        <v>111</v>
      </c>
      <c r="AH10" s="3" t="s">
        <v>111</v>
      </c>
      <c r="AI10" s="2" t="s">
        <v>109</v>
      </c>
      <c r="AJ10" s="2" t="s">
        <v>111</v>
      </c>
    </row>
    <row r="11" spans="1:133" x14ac:dyDescent="0.2">
      <c r="A11" s="8" t="s">
        <v>224</v>
      </c>
      <c r="B11" s="2" t="s">
        <v>238</v>
      </c>
      <c r="C11" s="2" t="s">
        <v>166</v>
      </c>
      <c r="D11" s="2" t="s">
        <v>109</v>
      </c>
      <c r="E11" s="2" t="s">
        <v>120</v>
      </c>
      <c r="F11" s="3">
        <v>2.4</v>
      </c>
      <c r="G11" s="2" t="s">
        <v>109</v>
      </c>
      <c r="H11" s="2" t="s">
        <v>109</v>
      </c>
      <c r="I11" s="2" t="s">
        <v>111</v>
      </c>
      <c r="J11" s="2" t="s">
        <v>109</v>
      </c>
      <c r="K11" s="2" t="s">
        <v>111</v>
      </c>
      <c r="L11" s="2" t="s">
        <v>111</v>
      </c>
      <c r="M11" s="2" t="s">
        <v>109</v>
      </c>
      <c r="N11" s="2" t="s">
        <v>111</v>
      </c>
      <c r="O11" s="2" t="s">
        <v>111</v>
      </c>
      <c r="P11" s="2" t="s">
        <v>109</v>
      </c>
      <c r="Q11" s="2" t="s">
        <v>111</v>
      </c>
      <c r="R11" s="2" t="s">
        <v>111</v>
      </c>
      <c r="S11" s="2" t="s">
        <v>109</v>
      </c>
      <c r="T11" s="2" t="s">
        <v>111</v>
      </c>
      <c r="U11" s="2" t="s">
        <v>111</v>
      </c>
      <c r="V11" s="2" t="s">
        <v>109</v>
      </c>
      <c r="W11" s="2" t="s">
        <v>111</v>
      </c>
      <c r="X11" s="2" t="s">
        <v>111</v>
      </c>
      <c r="Y11" s="2" t="s">
        <v>111</v>
      </c>
      <c r="Z11" s="2" t="s">
        <v>111</v>
      </c>
      <c r="AA11" s="2" t="s">
        <v>109</v>
      </c>
      <c r="AB11" s="2" t="s">
        <v>109</v>
      </c>
      <c r="AC11" s="2" t="s">
        <v>111</v>
      </c>
      <c r="AD11" s="2" t="s">
        <v>111</v>
      </c>
      <c r="AE11" s="2" t="s">
        <v>109</v>
      </c>
      <c r="AF11" s="2" t="s">
        <v>111</v>
      </c>
      <c r="AG11" s="2" t="s">
        <v>111</v>
      </c>
      <c r="AH11" s="3" t="s">
        <v>111</v>
      </c>
      <c r="AI11" s="2" t="s">
        <v>111</v>
      </c>
      <c r="AJ11" s="2" t="s">
        <v>109</v>
      </c>
      <c r="AK11" s="2">
        <v>75</v>
      </c>
      <c r="AL11" s="2">
        <v>75</v>
      </c>
      <c r="AM11" s="2">
        <v>25</v>
      </c>
      <c r="AN11" s="3" t="s">
        <v>111</v>
      </c>
    </row>
    <row r="12" spans="1:133" x14ac:dyDescent="0.2">
      <c r="A12" s="2" t="s">
        <v>231</v>
      </c>
      <c r="B12" s="2" t="s">
        <v>238</v>
      </c>
      <c r="C12" s="2" t="s">
        <v>166</v>
      </c>
      <c r="D12" s="2" t="s">
        <v>109</v>
      </c>
      <c r="E12" s="2" t="s">
        <v>116</v>
      </c>
      <c r="G12" s="2" t="s">
        <v>109</v>
      </c>
      <c r="H12" s="2" t="s">
        <v>109</v>
      </c>
      <c r="I12" s="2" t="s">
        <v>111</v>
      </c>
      <c r="J12" s="2" t="s">
        <v>109</v>
      </c>
      <c r="K12" s="2" t="s">
        <v>109</v>
      </c>
      <c r="L12" s="2" t="s">
        <v>109</v>
      </c>
      <c r="M12" s="2" t="s">
        <v>111</v>
      </c>
      <c r="N12" s="2" t="s">
        <v>111</v>
      </c>
      <c r="O12" s="2" t="s">
        <v>109</v>
      </c>
      <c r="P12" s="2" t="s">
        <v>109</v>
      </c>
      <c r="Q12" s="2" t="s">
        <v>109</v>
      </c>
      <c r="R12" s="2" t="s">
        <v>111</v>
      </c>
      <c r="S12" s="2" t="s">
        <v>111</v>
      </c>
      <c r="T12" s="2" t="s">
        <v>111</v>
      </c>
      <c r="U12" s="2" t="s">
        <v>109</v>
      </c>
      <c r="V12" s="2" t="s">
        <v>109</v>
      </c>
      <c r="W12" s="2" t="s">
        <v>111</v>
      </c>
      <c r="X12" s="2" t="s">
        <v>111</v>
      </c>
      <c r="Y12" s="2" t="s">
        <v>111</v>
      </c>
      <c r="Z12" s="2" t="s">
        <v>111</v>
      </c>
      <c r="AA12" s="2" t="s">
        <v>109</v>
      </c>
      <c r="AB12" s="2" t="s">
        <v>109</v>
      </c>
      <c r="AC12" s="2" t="s">
        <v>111</v>
      </c>
      <c r="AD12" s="2" t="s">
        <v>111</v>
      </c>
      <c r="AE12" s="2" t="s">
        <v>111</v>
      </c>
      <c r="AF12" s="2" t="s">
        <v>109</v>
      </c>
      <c r="AG12" s="2" t="s">
        <v>111</v>
      </c>
      <c r="AH12" s="3" t="s">
        <v>111</v>
      </c>
      <c r="AI12" s="2" t="s">
        <v>109</v>
      </c>
      <c r="AJ12" s="2" t="s">
        <v>111</v>
      </c>
      <c r="AK12" s="2">
        <v>90</v>
      </c>
      <c r="AL12" s="2">
        <v>30</v>
      </c>
      <c r="AM12" s="2">
        <v>70</v>
      </c>
      <c r="AN12" s="3" t="s">
        <v>109</v>
      </c>
      <c r="AO12" s="2">
        <v>95</v>
      </c>
      <c r="AP12" s="2">
        <v>30</v>
      </c>
      <c r="BB12" s="2">
        <v>90</v>
      </c>
      <c r="BC12" s="2">
        <v>99</v>
      </c>
      <c r="BD12" s="2">
        <v>85</v>
      </c>
      <c r="BE12" s="2">
        <v>99</v>
      </c>
      <c r="BF12" s="2">
        <v>85</v>
      </c>
      <c r="BG12" s="2">
        <v>99</v>
      </c>
      <c r="BU12" s="2">
        <v>6</v>
      </c>
      <c r="BV12" s="2">
        <v>8</v>
      </c>
      <c r="BW12" s="2">
        <v>8</v>
      </c>
      <c r="BX12" s="2">
        <v>1</v>
      </c>
      <c r="BY12" s="2">
        <v>8</v>
      </c>
      <c r="BZ12" s="2">
        <v>4</v>
      </c>
      <c r="CA12" s="2">
        <v>2</v>
      </c>
      <c r="CD12" s="3" t="s">
        <v>111</v>
      </c>
      <c r="CN12" s="2" t="s">
        <v>113</v>
      </c>
      <c r="CO12" s="3">
        <v>120000</v>
      </c>
      <c r="CP12" s="2">
        <v>100000</v>
      </c>
      <c r="CQ12" s="2">
        <v>2017</v>
      </c>
      <c r="CR12" s="2">
        <v>2018</v>
      </c>
      <c r="CS12" s="2">
        <v>20</v>
      </c>
      <c r="CT12" s="2">
        <v>80</v>
      </c>
      <c r="CU12" s="2">
        <v>90</v>
      </c>
      <c r="CV12" s="2">
        <v>10</v>
      </c>
      <c r="CW12" s="2">
        <v>40</v>
      </c>
      <c r="CX12" s="2">
        <v>0</v>
      </c>
      <c r="CY12" s="2">
        <v>0</v>
      </c>
      <c r="CZ12" s="2">
        <v>0</v>
      </c>
      <c r="DA12" s="2">
        <v>0</v>
      </c>
      <c r="DB12" s="2">
        <v>0</v>
      </c>
      <c r="DC12" s="2">
        <v>0</v>
      </c>
      <c r="DD12" s="2">
        <v>60</v>
      </c>
      <c r="DE12" s="2">
        <v>0</v>
      </c>
      <c r="DQ12" s="2">
        <v>5</v>
      </c>
      <c r="DR12" s="2">
        <v>0</v>
      </c>
      <c r="DS12" s="2">
        <v>2017</v>
      </c>
      <c r="DT12" s="2">
        <v>2017</v>
      </c>
      <c r="DU12" s="3" t="s">
        <v>109</v>
      </c>
      <c r="DV12" s="3" t="s">
        <v>111</v>
      </c>
      <c r="DW12" s="3" t="s">
        <v>109</v>
      </c>
      <c r="DX12" s="3" t="s">
        <v>111</v>
      </c>
      <c r="DY12" s="3" t="s">
        <v>111</v>
      </c>
      <c r="DZ12" s="3" t="s">
        <v>111</v>
      </c>
      <c r="EA12" s="3" t="s">
        <v>111</v>
      </c>
      <c r="EB12" s="3" t="s">
        <v>111</v>
      </c>
      <c r="EC12" s="3" t="s">
        <v>111</v>
      </c>
    </row>
    <row r="13" spans="1:133" x14ac:dyDescent="0.2">
      <c r="A13" s="8" t="s">
        <v>224</v>
      </c>
      <c r="B13" s="2" t="s">
        <v>238</v>
      </c>
      <c r="C13" s="2" t="s">
        <v>166</v>
      </c>
      <c r="D13" s="2" t="s">
        <v>109</v>
      </c>
      <c r="E13" s="2" t="s">
        <v>122</v>
      </c>
      <c r="F13" s="3">
        <v>0</v>
      </c>
      <c r="G13" s="2" t="s">
        <v>109</v>
      </c>
      <c r="H13" s="2" t="s">
        <v>109</v>
      </c>
      <c r="I13" s="2" t="s">
        <v>111</v>
      </c>
      <c r="J13" s="2" t="s">
        <v>111</v>
      </c>
      <c r="K13" s="2" t="s">
        <v>111</v>
      </c>
      <c r="L13" s="2" t="s">
        <v>111</v>
      </c>
      <c r="M13" s="2" t="s">
        <v>109</v>
      </c>
      <c r="N13" s="2" t="s">
        <v>111</v>
      </c>
      <c r="O13" s="2" t="s">
        <v>111</v>
      </c>
      <c r="P13" s="2" t="s">
        <v>109</v>
      </c>
      <c r="Q13" s="2" t="s">
        <v>111</v>
      </c>
      <c r="R13" s="2" t="s">
        <v>111</v>
      </c>
      <c r="S13" s="2" t="s">
        <v>109</v>
      </c>
      <c r="T13" s="2" t="s">
        <v>111</v>
      </c>
      <c r="U13" s="2" t="s">
        <v>111</v>
      </c>
      <c r="V13" s="2" t="s">
        <v>109</v>
      </c>
      <c r="W13" s="2" t="s">
        <v>111</v>
      </c>
      <c r="X13" s="2" t="s">
        <v>111</v>
      </c>
      <c r="Y13" s="2" t="s">
        <v>111</v>
      </c>
      <c r="Z13" s="2" t="s">
        <v>111</v>
      </c>
      <c r="AA13" s="2" t="s">
        <v>109</v>
      </c>
      <c r="AB13" s="2" t="s">
        <v>111</v>
      </c>
      <c r="AC13" s="2" t="s">
        <v>111</v>
      </c>
      <c r="AD13" s="2" t="s">
        <v>109</v>
      </c>
      <c r="AE13" s="2" t="s">
        <v>111</v>
      </c>
      <c r="AF13" s="2" t="s">
        <v>111</v>
      </c>
      <c r="AG13" s="2" t="s">
        <v>109</v>
      </c>
      <c r="AH13" s="3" t="s">
        <v>111</v>
      </c>
      <c r="AI13" s="2" t="s">
        <v>111</v>
      </c>
      <c r="AJ13" s="2" t="s">
        <v>109</v>
      </c>
      <c r="AK13" s="2">
        <v>90</v>
      </c>
      <c r="AN13" s="3" t="s">
        <v>109</v>
      </c>
    </row>
    <row r="14" spans="1:133" x14ac:dyDescent="0.2">
      <c r="A14" s="2" t="s">
        <v>216</v>
      </c>
      <c r="B14" s="2" t="s">
        <v>238</v>
      </c>
      <c r="C14" s="2" t="s">
        <v>166</v>
      </c>
      <c r="D14" s="2" t="s">
        <v>109</v>
      </c>
      <c r="E14" s="2" t="s">
        <v>116</v>
      </c>
      <c r="F14" s="3">
        <v>9</v>
      </c>
      <c r="G14" s="2" t="s">
        <v>111</v>
      </c>
      <c r="L14" s="2" t="s">
        <v>111</v>
      </c>
      <c r="M14" s="2" t="s">
        <v>109</v>
      </c>
      <c r="N14" s="2" t="s">
        <v>111</v>
      </c>
      <c r="O14" s="2" t="s">
        <v>111</v>
      </c>
      <c r="P14" s="2" t="s">
        <v>109</v>
      </c>
      <c r="Q14" s="2" t="s">
        <v>111</v>
      </c>
      <c r="R14" s="2" t="s">
        <v>111</v>
      </c>
      <c r="S14" s="2" t="s">
        <v>111</v>
      </c>
      <c r="T14" s="2" t="s">
        <v>111</v>
      </c>
      <c r="U14" s="2" t="s">
        <v>109</v>
      </c>
      <c r="V14" s="2" t="s">
        <v>109</v>
      </c>
      <c r="W14" s="2" t="s">
        <v>111</v>
      </c>
      <c r="X14" s="2" t="s">
        <v>111</v>
      </c>
      <c r="Y14" s="2" t="s">
        <v>111</v>
      </c>
      <c r="Z14" s="2" t="s">
        <v>111</v>
      </c>
      <c r="AA14" s="2" t="s">
        <v>109</v>
      </c>
      <c r="AB14" s="2" t="s">
        <v>111</v>
      </c>
      <c r="AC14" s="2" t="s">
        <v>111</v>
      </c>
      <c r="AD14" s="2" t="s">
        <v>109</v>
      </c>
      <c r="AE14" s="2" t="s">
        <v>111</v>
      </c>
      <c r="AF14" s="2" t="s">
        <v>111</v>
      </c>
      <c r="AG14" s="2" t="s">
        <v>109</v>
      </c>
      <c r="AH14" s="3" t="s">
        <v>111</v>
      </c>
      <c r="AI14" s="2" t="s">
        <v>111</v>
      </c>
      <c r="AJ14" s="2" t="s">
        <v>109</v>
      </c>
      <c r="AK14" s="2">
        <v>90</v>
      </c>
      <c r="AL14" s="2">
        <v>70</v>
      </c>
      <c r="AM14" s="2">
        <v>30</v>
      </c>
      <c r="AN14" s="3" t="s">
        <v>111</v>
      </c>
    </row>
    <row r="15" spans="1:133" x14ac:dyDescent="0.2">
      <c r="A15" s="2" t="s">
        <v>211</v>
      </c>
      <c r="B15" s="2" t="s">
        <v>236</v>
      </c>
      <c r="C15" s="2" t="s">
        <v>166</v>
      </c>
      <c r="D15" s="2" t="s">
        <v>109</v>
      </c>
      <c r="E15" s="2" t="s">
        <v>122</v>
      </c>
      <c r="F15" s="3">
        <v>3.1</v>
      </c>
      <c r="G15" s="2" t="s">
        <v>109</v>
      </c>
      <c r="H15" s="2" t="s">
        <v>109</v>
      </c>
      <c r="I15" s="2" t="s">
        <v>111</v>
      </c>
      <c r="J15" s="2" t="s">
        <v>109</v>
      </c>
      <c r="K15" s="2" t="s">
        <v>109</v>
      </c>
      <c r="L15" s="2" t="s">
        <v>111</v>
      </c>
      <c r="M15" s="2" t="s">
        <v>109</v>
      </c>
      <c r="N15" s="2" t="s">
        <v>109</v>
      </c>
      <c r="O15" s="2" t="s">
        <v>111</v>
      </c>
      <c r="P15" s="2" t="s">
        <v>109</v>
      </c>
      <c r="Q15" s="2" t="s">
        <v>109</v>
      </c>
      <c r="R15" s="2" t="s">
        <v>111</v>
      </c>
      <c r="AK15" s="2">
        <v>40</v>
      </c>
      <c r="AL15" s="2">
        <v>50</v>
      </c>
      <c r="AM15" s="2">
        <v>50</v>
      </c>
      <c r="AN15" s="3" t="s">
        <v>109</v>
      </c>
      <c r="AO15" s="2">
        <v>15</v>
      </c>
      <c r="AP15" s="2">
        <v>10</v>
      </c>
      <c r="AQ15" s="2">
        <v>20</v>
      </c>
      <c r="AR15" s="2">
        <v>50</v>
      </c>
      <c r="AS15" s="2">
        <v>20</v>
      </c>
      <c r="AT15" s="2">
        <v>10</v>
      </c>
      <c r="AU15" s="2">
        <v>20</v>
      </c>
      <c r="AV15" s="2">
        <v>50</v>
      </c>
      <c r="AW15" s="2">
        <v>20</v>
      </c>
      <c r="AX15" s="2">
        <v>10</v>
      </c>
      <c r="AY15" s="2">
        <v>50</v>
      </c>
      <c r="AZ15" s="2">
        <v>40</v>
      </c>
      <c r="BA15" s="2">
        <v>10</v>
      </c>
      <c r="BB15" s="2">
        <v>10</v>
      </c>
      <c r="BC15" s="2">
        <v>20</v>
      </c>
      <c r="BU15" s="2">
        <v>10</v>
      </c>
      <c r="BV15" s="2">
        <v>8</v>
      </c>
      <c r="BW15" s="2">
        <v>10</v>
      </c>
      <c r="BX15" s="2">
        <v>8</v>
      </c>
      <c r="BY15" s="2">
        <v>9</v>
      </c>
      <c r="BZ15" s="2">
        <v>10</v>
      </c>
      <c r="CA15" s="2">
        <v>7</v>
      </c>
      <c r="CD15" s="3" t="s">
        <v>111</v>
      </c>
      <c r="CN15" s="2" t="s">
        <v>115</v>
      </c>
      <c r="CO15" s="3">
        <v>10000</v>
      </c>
      <c r="CP15" s="2">
        <v>20000</v>
      </c>
      <c r="CQ15" s="2">
        <v>2016</v>
      </c>
      <c r="CR15" s="2">
        <v>2017</v>
      </c>
      <c r="CS15" s="2">
        <v>30</v>
      </c>
      <c r="CT15" s="2">
        <v>70</v>
      </c>
      <c r="CU15" s="2">
        <v>10</v>
      </c>
      <c r="CV15" s="2">
        <v>90</v>
      </c>
      <c r="CW15" s="2">
        <v>5</v>
      </c>
      <c r="CX15" s="2">
        <v>25</v>
      </c>
      <c r="CY15" s="2">
        <v>0</v>
      </c>
      <c r="CZ15" s="2">
        <v>10</v>
      </c>
      <c r="DA15" s="2">
        <v>25</v>
      </c>
      <c r="DB15" s="2">
        <v>0</v>
      </c>
      <c r="DC15" s="2">
        <v>30</v>
      </c>
      <c r="DD15" s="2">
        <v>5</v>
      </c>
      <c r="DE15" s="2">
        <v>0</v>
      </c>
      <c r="DG15" s="2">
        <v>10</v>
      </c>
      <c r="DH15" s="2">
        <v>40</v>
      </c>
      <c r="DI15" s="2">
        <v>5</v>
      </c>
      <c r="DJ15" s="2">
        <v>5</v>
      </c>
      <c r="DK15" s="2">
        <v>10</v>
      </c>
      <c r="DL15" s="2">
        <v>20</v>
      </c>
      <c r="DM15" s="2">
        <v>5</v>
      </c>
      <c r="DN15" s="2">
        <v>5</v>
      </c>
      <c r="DO15" s="2">
        <v>0</v>
      </c>
      <c r="DQ15" s="2">
        <v>4</v>
      </c>
      <c r="DR15" s="2">
        <v>10</v>
      </c>
      <c r="DS15" s="2">
        <v>2017</v>
      </c>
      <c r="DT15" s="2">
        <v>2017</v>
      </c>
      <c r="DU15" s="3" t="s">
        <v>109</v>
      </c>
      <c r="DV15" s="3" t="s">
        <v>111</v>
      </c>
      <c r="DW15" s="3" t="s">
        <v>111</v>
      </c>
      <c r="DX15" s="3" t="s">
        <v>111</v>
      </c>
      <c r="DY15" s="3" t="s">
        <v>111</v>
      </c>
      <c r="DZ15" s="3" t="s">
        <v>111</v>
      </c>
      <c r="EA15" s="3" t="s">
        <v>109</v>
      </c>
      <c r="EB15" s="3" t="s">
        <v>111</v>
      </c>
      <c r="EC15" s="3" t="s">
        <v>111</v>
      </c>
    </row>
    <row r="16" spans="1:133" x14ac:dyDescent="0.2">
      <c r="A16" s="3" t="s">
        <v>229</v>
      </c>
      <c r="B16" s="3" t="s">
        <v>215</v>
      </c>
      <c r="C16" s="3" t="s">
        <v>166</v>
      </c>
      <c r="D16" s="3" t="s">
        <v>109</v>
      </c>
      <c r="E16" s="3" t="s">
        <v>114</v>
      </c>
      <c r="F16" s="3">
        <v>54.9</v>
      </c>
      <c r="G16" s="3" t="s">
        <v>109</v>
      </c>
      <c r="H16" s="3" t="s">
        <v>109</v>
      </c>
      <c r="I16" s="3" t="s">
        <v>109</v>
      </c>
      <c r="J16" s="3" t="s">
        <v>109</v>
      </c>
      <c r="K16" s="3" t="s">
        <v>109</v>
      </c>
      <c r="L16" s="3" t="s">
        <v>109</v>
      </c>
      <c r="M16" s="3" t="s">
        <v>109</v>
      </c>
      <c r="N16" s="3" t="s">
        <v>111</v>
      </c>
      <c r="O16" s="3" t="s">
        <v>111</v>
      </c>
      <c r="P16" s="3" t="s">
        <v>109</v>
      </c>
      <c r="Q16" s="3" t="s">
        <v>109</v>
      </c>
      <c r="R16" s="3" t="s">
        <v>111</v>
      </c>
      <c r="S16" s="3" t="s">
        <v>111</v>
      </c>
      <c r="T16" s="3" t="s">
        <v>111</v>
      </c>
      <c r="U16" s="3" t="s">
        <v>109</v>
      </c>
      <c r="V16" s="3" t="s">
        <v>109</v>
      </c>
      <c r="W16" s="3" t="s">
        <v>109</v>
      </c>
      <c r="X16" s="3" t="s">
        <v>111</v>
      </c>
      <c r="Y16" s="3" t="s">
        <v>111</v>
      </c>
      <c r="Z16" s="3" t="s">
        <v>111</v>
      </c>
      <c r="AA16" s="3" t="s">
        <v>109</v>
      </c>
      <c r="AB16" s="3" t="s">
        <v>111</v>
      </c>
      <c r="AC16" s="3" t="s">
        <v>111</v>
      </c>
      <c r="AD16" s="3" t="s">
        <v>109</v>
      </c>
      <c r="AE16" s="3" t="s">
        <v>111</v>
      </c>
      <c r="AF16" s="3" t="s">
        <v>109</v>
      </c>
      <c r="AG16" s="3" t="s">
        <v>111</v>
      </c>
      <c r="AH16" s="3" t="s">
        <v>111</v>
      </c>
      <c r="AI16" s="3" t="s">
        <v>109</v>
      </c>
      <c r="AJ16" s="3" t="s">
        <v>111</v>
      </c>
      <c r="AK16" s="3">
        <v>98</v>
      </c>
      <c r="AL16" s="3">
        <v>5</v>
      </c>
      <c r="AM16" s="3">
        <v>75</v>
      </c>
      <c r="AN16" s="3" t="s">
        <v>109</v>
      </c>
      <c r="AO16" s="3">
        <v>95</v>
      </c>
      <c r="AP16" s="3">
        <v>0</v>
      </c>
      <c r="AQ16" s="3"/>
      <c r="AR16" s="3"/>
      <c r="AS16" s="3"/>
      <c r="AT16" s="3"/>
      <c r="AU16" s="3"/>
      <c r="AV16" s="3"/>
      <c r="AW16" s="3"/>
      <c r="AX16" s="3"/>
      <c r="AY16" s="3">
        <v>100</v>
      </c>
      <c r="AZ16" s="3">
        <v>100</v>
      </c>
      <c r="BA16" s="3">
        <v>100</v>
      </c>
      <c r="BB16" s="3"/>
      <c r="BC16" s="3"/>
      <c r="BD16" s="3"/>
      <c r="BE16" s="3"/>
      <c r="BF16" s="3"/>
      <c r="BG16" s="3"/>
      <c r="BH16" s="3"/>
      <c r="BI16" s="3"/>
      <c r="BJ16" s="3"/>
      <c r="BK16" s="3"/>
      <c r="BL16" s="3"/>
      <c r="BM16" s="3"/>
      <c r="BN16" s="3"/>
      <c r="BO16" s="3"/>
      <c r="BP16" s="3"/>
      <c r="BQ16" s="3"/>
      <c r="BR16" s="3"/>
      <c r="BS16" s="3"/>
      <c r="BT16" s="3"/>
      <c r="BU16" s="3">
        <v>10</v>
      </c>
      <c r="BV16" s="3">
        <v>10</v>
      </c>
      <c r="BW16" s="3">
        <v>9</v>
      </c>
      <c r="BX16" s="3">
        <v>1</v>
      </c>
      <c r="BY16" s="3">
        <v>9</v>
      </c>
      <c r="BZ16" s="3">
        <v>9</v>
      </c>
      <c r="CA16" s="3">
        <v>8</v>
      </c>
      <c r="CB16" s="3"/>
      <c r="CC16" s="3"/>
      <c r="CD16" s="3" t="s">
        <v>109</v>
      </c>
      <c r="CE16" s="3" t="s">
        <v>109</v>
      </c>
      <c r="CF16" s="3" t="s">
        <v>111</v>
      </c>
      <c r="CG16" s="3" t="s">
        <v>111</v>
      </c>
      <c r="CH16" s="3" t="s">
        <v>111</v>
      </c>
      <c r="CI16" s="3" t="s">
        <v>109</v>
      </c>
      <c r="CJ16" s="3" t="s">
        <v>111</v>
      </c>
      <c r="CK16" s="3" t="s">
        <v>109</v>
      </c>
      <c r="CL16" s="3" t="s">
        <v>111</v>
      </c>
      <c r="CM16" s="3"/>
      <c r="CN16" s="3" t="s">
        <v>117</v>
      </c>
      <c r="CP16" s="3"/>
      <c r="CQ16" s="3">
        <v>2017</v>
      </c>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row>
    <row r="17" spans="1:133" x14ac:dyDescent="0.2">
      <c r="A17" s="8" t="s">
        <v>224</v>
      </c>
      <c r="B17" s="2" t="s">
        <v>238</v>
      </c>
      <c r="C17" s="2" t="s">
        <v>166</v>
      </c>
      <c r="D17" s="2" t="s">
        <v>109</v>
      </c>
      <c r="E17" s="2" t="s">
        <v>112</v>
      </c>
      <c r="F17" s="3">
        <v>0</v>
      </c>
      <c r="G17" s="2" t="s">
        <v>109</v>
      </c>
      <c r="H17" s="2" t="s">
        <v>109</v>
      </c>
      <c r="I17" s="2" t="s">
        <v>111</v>
      </c>
      <c r="J17" s="2" t="s">
        <v>111</v>
      </c>
      <c r="K17" s="2" t="s">
        <v>111</v>
      </c>
      <c r="L17" s="2" t="s">
        <v>111</v>
      </c>
      <c r="M17" s="2" t="s">
        <v>111</v>
      </c>
      <c r="N17" s="2" t="s">
        <v>109</v>
      </c>
      <c r="O17" s="2" t="s">
        <v>111</v>
      </c>
      <c r="P17" s="2" t="s">
        <v>111</v>
      </c>
      <c r="Q17" s="2" t="s">
        <v>111</v>
      </c>
      <c r="R17" s="2" t="s">
        <v>109</v>
      </c>
      <c r="S17" s="2" t="s">
        <v>111</v>
      </c>
      <c r="T17" s="2" t="s">
        <v>111</v>
      </c>
      <c r="U17" s="2" t="s">
        <v>109</v>
      </c>
      <c r="V17" s="2" t="s">
        <v>111</v>
      </c>
      <c r="W17" s="2" t="s">
        <v>109</v>
      </c>
      <c r="X17" s="2" t="s">
        <v>111</v>
      </c>
      <c r="Y17" s="2" t="s">
        <v>111</v>
      </c>
      <c r="Z17" s="2" t="s">
        <v>111</v>
      </c>
      <c r="AA17" s="2" t="s">
        <v>109</v>
      </c>
      <c r="AB17" s="2" t="s">
        <v>111</v>
      </c>
      <c r="AC17" s="2" t="s">
        <v>111</v>
      </c>
      <c r="AD17" s="2" t="s">
        <v>109</v>
      </c>
      <c r="AE17" s="2" t="s">
        <v>111</v>
      </c>
      <c r="AF17" s="2" t="s">
        <v>111</v>
      </c>
      <c r="AG17" s="2" t="s">
        <v>109</v>
      </c>
      <c r="AH17" s="3" t="s">
        <v>111</v>
      </c>
      <c r="AI17" s="2" t="s">
        <v>111</v>
      </c>
      <c r="AJ17" s="2" t="s">
        <v>109</v>
      </c>
      <c r="AK17" s="2">
        <v>75</v>
      </c>
      <c r="AN17" s="3" t="s">
        <v>111</v>
      </c>
    </row>
    <row r="18" spans="1:133" x14ac:dyDescent="0.2">
      <c r="A18" s="8" t="s">
        <v>224</v>
      </c>
      <c r="B18" s="2" t="s">
        <v>238</v>
      </c>
      <c r="C18" s="2" t="s">
        <v>166</v>
      </c>
      <c r="D18" s="2" t="s">
        <v>109</v>
      </c>
    </row>
    <row r="19" spans="1:133" x14ac:dyDescent="0.2">
      <c r="A19" s="2" t="s">
        <v>229</v>
      </c>
      <c r="B19" s="2" t="s">
        <v>215</v>
      </c>
      <c r="C19" s="2" t="s">
        <v>166</v>
      </c>
      <c r="D19" s="2" t="s">
        <v>109</v>
      </c>
      <c r="E19" s="2" t="s">
        <v>122</v>
      </c>
      <c r="F19" s="3">
        <v>0.8</v>
      </c>
      <c r="G19" s="2" t="s">
        <v>109</v>
      </c>
      <c r="H19" s="2" t="s">
        <v>109</v>
      </c>
      <c r="I19" s="2" t="s">
        <v>111</v>
      </c>
      <c r="J19" s="2" t="s">
        <v>109</v>
      </c>
      <c r="K19" s="2" t="s">
        <v>111</v>
      </c>
      <c r="L19" s="2" t="s">
        <v>109</v>
      </c>
      <c r="M19" s="2" t="s">
        <v>109</v>
      </c>
      <c r="N19" s="2" t="s">
        <v>109</v>
      </c>
      <c r="O19" s="2" t="s">
        <v>111</v>
      </c>
      <c r="P19" s="2" t="s">
        <v>109</v>
      </c>
      <c r="Q19" s="2" t="s">
        <v>109</v>
      </c>
      <c r="R19" s="2" t="s">
        <v>111</v>
      </c>
      <c r="S19" s="2" t="s">
        <v>109</v>
      </c>
      <c r="T19" s="2" t="s">
        <v>109</v>
      </c>
      <c r="U19" s="2" t="s">
        <v>111</v>
      </c>
      <c r="V19" s="2" t="s">
        <v>109</v>
      </c>
      <c r="W19" s="2" t="s">
        <v>109</v>
      </c>
      <c r="X19" s="2" t="s">
        <v>111</v>
      </c>
      <c r="Y19" s="2" t="s">
        <v>111</v>
      </c>
      <c r="Z19" s="2" t="s">
        <v>111</v>
      </c>
      <c r="AA19" s="2" t="s">
        <v>109</v>
      </c>
      <c r="AB19" s="2" t="s">
        <v>111</v>
      </c>
      <c r="AC19" s="2" t="s">
        <v>111</v>
      </c>
      <c r="AD19" s="2" t="s">
        <v>109</v>
      </c>
      <c r="AE19" s="2" t="s">
        <v>109</v>
      </c>
      <c r="AF19" s="2" t="s">
        <v>109</v>
      </c>
      <c r="AG19" s="2" t="s">
        <v>111</v>
      </c>
      <c r="AH19" s="3" t="s">
        <v>111</v>
      </c>
      <c r="AI19" s="2" t="s">
        <v>111</v>
      </c>
      <c r="AJ19" s="2" t="s">
        <v>109</v>
      </c>
      <c r="AK19" s="2">
        <v>20</v>
      </c>
      <c r="AL19" s="2">
        <v>15</v>
      </c>
      <c r="AM19" s="2">
        <v>75</v>
      </c>
      <c r="AN19" s="3" t="s">
        <v>109</v>
      </c>
      <c r="AO19" s="2">
        <v>5</v>
      </c>
      <c r="AP19" s="2">
        <v>0</v>
      </c>
      <c r="AQ19" s="2">
        <v>20</v>
      </c>
      <c r="AR19" s="2">
        <v>70</v>
      </c>
      <c r="AS19" s="2">
        <v>5</v>
      </c>
      <c r="AT19" s="2">
        <v>5</v>
      </c>
      <c r="AU19" s="2">
        <v>20</v>
      </c>
      <c r="AV19" s="2">
        <v>70</v>
      </c>
      <c r="AW19" s="2">
        <v>5</v>
      </c>
      <c r="AX19" s="2">
        <v>5</v>
      </c>
      <c r="AY19" s="2">
        <v>80</v>
      </c>
      <c r="AZ19" s="2">
        <v>15</v>
      </c>
      <c r="BA19" s="2">
        <v>5</v>
      </c>
      <c r="BF19" s="2">
        <v>100</v>
      </c>
      <c r="BG19" s="2">
        <v>100</v>
      </c>
      <c r="BU19" s="2">
        <v>9</v>
      </c>
      <c r="BV19" s="2">
        <v>9</v>
      </c>
      <c r="BW19" s="2">
        <v>6</v>
      </c>
      <c r="BX19" s="2">
        <v>1</v>
      </c>
      <c r="BY19" s="2">
        <v>2</v>
      </c>
      <c r="BZ19" s="2">
        <v>9</v>
      </c>
      <c r="CA19" s="2">
        <v>1</v>
      </c>
      <c r="CD19" s="3" t="s">
        <v>111</v>
      </c>
      <c r="CN19" s="2" t="s">
        <v>113</v>
      </c>
      <c r="CO19" s="3">
        <v>0</v>
      </c>
      <c r="CP19" s="2">
        <v>35000</v>
      </c>
      <c r="CQ19" s="2">
        <v>2017</v>
      </c>
      <c r="CR19" s="2">
        <v>2017</v>
      </c>
      <c r="CS19" s="2">
        <v>50</v>
      </c>
      <c r="CT19" s="2">
        <v>50</v>
      </c>
      <c r="CU19" s="2">
        <v>75</v>
      </c>
      <c r="CV19" s="2">
        <v>25</v>
      </c>
      <c r="CW19" s="2">
        <v>0</v>
      </c>
      <c r="CX19" s="2">
        <v>10</v>
      </c>
      <c r="CY19" s="2">
        <v>0</v>
      </c>
      <c r="CZ19" s="2">
        <v>10</v>
      </c>
      <c r="DA19" s="2">
        <v>40</v>
      </c>
      <c r="DB19" s="2">
        <v>0</v>
      </c>
      <c r="DC19" s="2">
        <v>20</v>
      </c>
      <c r="DD19" s="2">
        <v>20</v>
      </c>
      <c r="DE19" s="2">
        <v>0</v>
      </c>
      <c r="DG19" s="2">
        <v>60</v>
      </c>
      <c r="DH19" s="2">
        <v>20</v>
      </c>
      <c r="DI19" s="2">
        <v>10</v>
      </c>
      <c r="DJ19" s="2">
        <v>0</v>
      </c>
      <c r="DK19" s="2">
        <v>0</v>
      </c>
      <c r="DL19" s="2">
        <v>0</v>
      </c>
      <c r="DM19" s="2">
        <v>0</v>
      </c>
      <c r="DN19" s="2">
        <v>10</v>
      </c>
      <c r="DO19" s="2">
        <v>0</v>
      </c>
      <c r="DQ19" s="2">
        <v>0.8</v>
      </c>
      <c r="DR19" s="2">
        <v>7</v>
      </c>
      <c r="DS19" s="2">
        <v>2017</v>
      </c>
      <c r="DT19" s="2">
        <v>2017</v>
      </c>
      <c r="DU19" s="3" t="s">
        <v>109</v>
      </c>
      <c r="DV19" s="3" t="s">
        <v>111</v>
      </c>
      <c r="DW19" s="3" t="s">
        <v>109</v>
      </c>
      <c r="DX19" s="3" t="s">
        <v>111</v>
      </c>
      <c r="DY19" s="3" t="s">
        <v>111</v>
      </c>
      <c r="DZ19" s="3" t="s">
        <v>111</v>
      </c>
      <c r="EA19" s="3" t="s">
        <v>111</v>
      </c>
      <c r="EB19" s="3" t="s">
        <v>111</v>
      </c>
      <c r="EC19" s="3" t="s">
        <v>111</v>
      </c>
    </row>
    <row r="20" spans="1:133" s="3" customFormat="1" x14ac:dyDescent="0.2">
      <c r="A20" s="84" t="s">
        <v>224</v>
      </c>
      <c r="B20" s="3" t="s">
        <v>238</v>
      </c>
      <c r="C20" s="3" t="s">
        <v>166</v>
      </c>
      <c r="D20" s="3" t="s">
        <v>109</v>
      </c>
      <c r="E20" s="3" t="s">
        <v>110</v>
      </c>
      <c r="F20" s="3">
        <v>0</v>
      </c>
      <c r="G20" s="3" t="s">
        <v>109</v>
      </c>
      <c r="H20" s="3" t="s">
        <v>109</v>
      </c>
      <c r="I20" s="3" t="s">
        <v>109</v>
      </c>
      <c r="J20" s="3" t="s">
        <v>109</v>
      </c>
      <c r="K20" s="3" t="s">
        <v>111</v>
      </c>
      <c r="L20" s="3" t="s">
        <v>111</v>
      </c>
      <c r="M20" s="3" t="s">
        <v>109</v>
      </c>
      <c r="N20" s="3" t="s">
        <v>109</v>
      </c>
      <c r="O20" s="3" t="s">
        <v>111</v>
      </c>
      <c r="P20" s="3" t="s">
        <v>109</v>
      </c>
      <c r="Q20" s="3" t="s">
        <v>109</v>
      </c>
      <c r="R20" s="3" t="s">
        <v>111</v>
      </c>
      <c r="S20" s="3" t="s">
        <v>111</v>
      </c>
      <c r="T20" s="3" t="s">
        <v>111</v>
      </c>
      <c r="U20" s="3" t="s">
        <v>109</v>
      </c>
      <c r="V20" s="3" t="s">
        <v>109</v>
      </c>
      <c r="W20" s="3" t="s">
        <v>109</v>
      </c>
      <c r="X20" s="3" t="s">
        <v>111</v>
      </c>
      <c r="Y20" s="3" t="s">
        <v>111</v>
      </c>
      <c r="Z20" s="3" t="s">
        <v>111</v>
      </c>
      <c r="AA20" s="3" t="s">
        <v>109</v>
      </c>
      <c r="AB20" s="3" t="s">
        <v>111</v>
      </c>
      <c r="AC20" s="3" t="s">
        <v>111</v>
      </c>
      <c r="AD20" s="3" t="s">
        <v>109</v>
      </c>
      <c r="AE20" s="3" t="s">
        <v>111</v>
      </c>
      <c r="AF20" s="3" t="s">
        <v>109</v>
      </c>
      <c r="AG20" s="3" t="s">
        <v>111</v>
      </c>
      <c r="AH20" s="3" t="s">
        <v>111</v>
      </c>
      <c r="AI20" s="3" t="s">
        <v>111</v>
      </c>
      <c r="AJ20" s="3" t="s">
        <v>109</v>
      </c>
      <c r="AK20" s="3">
        <v>90</v>
      </c>
      <c r="AL20" s="3">
        <v>85</v>
      </c>
      <c r="AM20" s="3">
        <v>15</v>
      </c>
      <c r="AN20" s="3" t="s">
        <v>111</v>
      </c>
    </row>
    <row r="21" spans="1:133" s="3" customFormat="1" x14ac:dyDescent="0.2">
      <c r="A21" s="8" t="s">
        <v>224</v>
      </c>
      <c r="B21" s="2" t="s">
        <v>238</v>
      </c>
      <c r="C21" s="2" t="s">
        <v>166</v>
      </c>
      <c r="D21" s="2" t="s">
        <v>109</v>
      </c>
      <c r="E21" s="2" t="s">
        <v>122</v>
      </c>
      <c r="F21" s="3">
        <v>0</v>
      </c>
      <c r="G21" s="2" t="s">
        <v>111</v>
      </c>
      <c r="H21" s="2"/>
      <c r="I21" s="2"/>
      <c r="J21" s="2"/>
      <c r="K21" s="2"/>
      <c r="L21" s="2" t="s">
        <v>111</v>
      </c>
      <c r="M21" s="2" t="s">
        <v>109</v>
      </c>
      <c r="N21" s="2" t="s">
        <v>109</v>
      </c>
      <c r="O21" s="2" t="s">
        <v>111</v>
      </c>
      <c r="P21" s="2" t="s">
        <v>109</v>
      </c>
      <c r="Q21" s="2" t="s">
        <v>109</v>
      </c>
      <c r="R21" s="2" t="s">
        <v>111</v>
      </c>
      <c r="S21" s="2" t="s">
        <v>111</v>
      </c>
      <c r="T21" s="2" t="s">
        <v>111</v>
      </c>
      <c r="U21" s="2" t="s">
        <v>109</v>
      </c>
      <c r="V21" s="2" t="s">
        <v>111</v>
      </c>
      <c r="W21" s="2" t="s">
        <v>111</v>
      </c>
      <c r="X21" s="2" t="s">
        <v>109</v>
      </c>
      <c r="Y21" s="2" t="s">
        <v>111</v>
      </c>
      <c r="Z21" s="2" t="s">
        <v>111</v>
      </c>
      <c r="AA21" s="2" t="s">
        <v>109</v>
      </c>
      <c r="AB21" s="2" t="s">
        <v>111</v>
      </c>
      <c r="AC21" s="2" t="s">
        <v>111</v>
      </c>
      <c r="AD21" s="2" t="s">
        <v>109</v>
      </c>
      <c r="AE21" s="2" t="s">
        <v>109</v>
      </c>
      <c r="AF21" s="2" t="s">
        <v>109</v>
      </c>
      <c r="AG21" s="2" t="s">
        <v>111</v>
      </c>
      <c r="AH21" s="3" t="s">
        <v>111</v>
      </c>
      <c r="AI21" s="2" t="s">
        <v>111</v>
      </c>
      <c r="AJ21" s="2" t="s">
        <v>109</v>
      </c>
      <c r="AK21" s="2">
        <v>50</v>
      </c>
      <c r="AL21" s="2"/>
      <c r="AM21" s="2">
        <v>50</v>
      </c>
      <c r="AN21" s="3" t="s">
        <v>109</v>
      </c>
      <c r="AO21" s="2">
        <v>0</v>
      </c>
      <c r="AP21" s="2">
        <v>1</v>
      </c>
      <c r="AQ21" s="2">
        <v>10</v>
      </c>
      <c r="AR21" s="2">
        <v>20</v>
      </c>
      <c r="AS21" s="2">
        <v>20</v>
      </c>
      <c r="AT21" s="2">
        <v>50</v>
      </c>
      <c r="AU21" s="2">
        <v>10</v>
      </c>
      <c r="AV21" s="2">
        <v>20</v>
      </c>
      <c r="AW21" s="2">
        <v>20</v>
      </c>
      <c r="AX21" s="2">
        <v>50</v>
      </c>
      <c r="AY21" s="2">
        <v>10</v>
      </c>
      <c r="AZ21" s="2">
        <v>80</v>
      </c>
      <c r="BA21" s="2">
        <v>0</v>
      </c>
      <c r="BB21" s="2"/>
      <c r="BC21" s="2"/>
      <c r="BD21" s="2"/>
      <c r="BE21" s="2"/>
      <c r="BF21" s="2"/>
      <c r="BG21" s="2"/>
      <c r="BH21" s="2"/>
      <c r="BI21" s="2"/>
      <c r="BJ21" s="2"/>
      <c r="BK21" s="2"/>
      <c r="BL21" s="2"/>
      <c r="BM21" s="2"/>
      <c r="BN21" s="2"/>
      <c r="BO21" s="2"/>
      <c r="BP21" s="2">
        <v>1</v>
      </c>
      <c r="BQ21" s="2">
        <v>5</v>
      </c>
      <c r="BR21" s="2"/>
      <c r="BS21" s="2"/>
      <c r="BT21" s="2"/>
      <c r="BU21" s="2">
        <v>1</v>
      </c>
      <c r="BV21" s="2">
        <v>1</v>
      </c>
      <c r="BW21" s="2">
        <v>8</v>
      </c>
      <c r="BX21" s="2">
        <v>1</v>
      </c>
      <c r="BY21" s="2">
        <v>6</v>
      </c>
      <c r="BZ21" s="2">
        <v>7</v>
      </c>
      <c r="CA21" s="2">
        <v>1</v>
      </c>
      <c r="CB21" s="2"/>
      <c r="CC21" s="2"/>
      <c r="CD21" s="3" t="s">
        <v>111</v>
      </c>
      <c r="CE21" s="2"/>
      <c r="CF21" s="2"/>
      <c r="CG21" s="2"/>
      <c r="CH21" s="2"/>
      <c r="CJ21" s="2"/>
      <c r="CK21" s="2"/>
      <c r="CL21" s="2"/>
      <c r="CM21" s="2"/>
      <c r="CN21" s="2" t="s">
        <v>117</v>
      </c>
      <c r="CO21" s="3">
        <v>1500</v>
      </c>
      <c r="CP21" s="2"/>
      <c r="CQ21" s="2">
        <v>2017</v>
      </c>
      <c r="CR21" s="2"/>
      <c r="CS21" s="2">
        <v>5</v>
      </c>
      <c r="CT21" s="2">
        <v>95</v>
      </c>
      <c r="CU21" s="2">
        <v>100</v>
      </c>
      <c r="CV21" s="2">
        <v>0</v>
      </c>
      <c r="CW21" s="2">
        <v>0</v>
      </c>
      <c r="CX21" s="2">
        <v>0</v>
      </c>
      <c r="CY21" s="2">
        <v>0</v>
      </c>
      <c r="CZ21" s="2">
        <v>0</v>
      </c>
      <c r="DA21" s="2">
        <v>70</v>
      </c>
      <c r="DB21" s="2">
        <v>0</v>
      </c>
      <c r="DC21" s="2">
        <v>20</v>
      </c>
      <c r="DD21" s="2">
        <v>10</v>
      </c>
      <c r="DE21" s="2">
        <v>0</v>
      </c>
      <c r="DF21" s="2"/>
      <c r="DG21" s="2">
        <v>10</v>
      </c>
      <c r="DH21" s="2">
        <v>10</v>
      </c>
      <c r="DI21" s="2">
        <v>5</v>
      </c>
      <c r="DJ21" s="2">
        <v>5</v>
      </c>
      <c r="DK21" s="2">
        <v>10</v>
      </c>
      <c r="DL21" s="2">
        <v>0</v>
      </c>
      <c r="DM21" s="2">
        <v>0</v>
      </c>
      <c r="DN21" s="2">
        <v>60</v>
      </c>
      <c r="DO21" s="2">
        <v>0</v>
      </c>
      <c r="DP21" s="2"/>
      <c r="DQ21" s="2">
        <v>0</v>
      </c>
      <c r="DR21" s="2">
        <v>2</v>
      </c>
      <c r="DS21" s="2">
        <v>2017</v>
      </c>
      <c r="DT21" s="2">
        <v>2017</v>
      </c>
      <c r="DU21" s="3" t="s">
        <v>109</v>
      </c>
      <c r="DV21" s="3" t="s">
        <v>111</v>
      </c>
      <c r="DW21" s="3" t="s">
        <v>111</v>
      </c>
      <c r="DX21" s="3" t="s">
        <v>109</v>
      </c>
      <c r="DY21" s="3" t="s">
        <v>111</v>
      </c>
      <c r="DZ21" s="3" t="s">
        <v>111</v>
      </c>
      <c r="EA21" s="3" t="s">
        <v>111</v>
      </c>
      <c r="EB21" s="3" t="s">
        <v>111</v>
      </c>
      <c r="EC21" s="3" t="s">
        <v>111</v>
      </c>
    </row>
    <row r="22" spans="1:133" x14ac:dyDescent="0.2">
      <c r="A22" s="2" t="s">
        <v>211</v>
      </c>
      <c r="B22" s="2" t="s">
        <v>236</v>
      </c>
      <c r="C22" s="3" t="s">
        <v>166</v>
      </c>
      <c r="D22" s="3" t="s">
        <v>109</v>
      </c>
      <c r="E22" s="3" t="s">
        <v>122</v>
      </c>
      <c r="F22" s="3">
        <v>0.3</v>
      </c>
      <c r="G22" s="3" t="s">
        <v>111</v>
      </c>
      <c r="H22" s="3"/>
      <c r="I22" s="3"/>
      <c r="J22" s="3"/>
      <c r="K22" s="3"/>
      <c r="L22" s="3" t="s">
        <v>111</v>
      </c>
      <c r="M22" s="3"/>
      <c r="N22" s="3"/>
      <c r="O22" s="3"/>
      <c r="P22" s="3" t="s">
        <v>109</v>
      </c>
      <c r="Q22" s="3" t="s">
        <v>109</v>
      </c>
      <c r="R22" s="3" t="s">
        <v>111</v>
      </c>
      <c r="S22" s="3" t="s">
        <v>109</v>
      </c>
      <c r="T22" s="3" t="s">
        <v>109</v>
      </c>
      <c r="U22" s="3" t="s">
        <v>111</v>
      </c>
      <c r="V22" s="3"/>
      <c r="W22" s="3"/>
      <c r="X22" s="3"/>
      <c r="Y22" s="3"/>
      <c r="Z22" s="3"/>
      <c r="AA22" s="3"/>
      <c r="AB22" s="3"/>
      <c r="AC22" s="3"/>
      <c r="AD22" s="3"/>
      <c r="AE22" s="3"/>
      <c r="AF22" s="3"/>
      <c r="AG22" s="3"/>
      <c r="AI22" s="3"/>
      <c r="AJ22" s="3"/>
      <c r="AK22" s="3">
        <v>100</v>
      </c>
      <c r="AL22" s="3">
        <v>7</v>
      </c>
      <c r="AM22" s="3"/>
      <c r="AN22" s="3" t="s">
        <v>111</v>
      </c>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E22" s="3"/>
      <c r="CF22" s="3"/>
      <c r="CG22" s="3"/>
      <c r="CH22" s="3"/>
      <c r="CJ22" s="3"/>
      <c r="CK22" s="3"/>
      <c r="CL22" s="3"/>
      <c r="CM22" s="3"/>
      <c r="CN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row>
    <row r="23" spans="1:133" x14ac:dyDescent="0.2">
      <c r="A23" s="8" t="s">
        <v>224</v>
      </c>
      <c r="B23" s="2" t="s">
        <v>238</v>
      </c>
      <c r="C23" s="2" t="s">
        <v>166</v>
      </c>
      <c r="D23" s="2" t="s">
        <v>109</v>
      </c>
      <c r="E23" s="2" t="s">
        <v>116</v>
      </c>
      <c r="F23" s="3">
        <v>100</v>
      </c>
      <c r="G23" s="2" t="s">
        <v>109</v>
      </c>
      <c r="H23" s="2" t="s">
        <v>109</v>
      </c>
      <c r="I23" s="2" t="s">
        <v>109</v>
      </c>
      <c r="J23" s="2" t="s">
        <v>109</v>
      </c>
      <c r="K23" s="2" t="s">
        <v>109</v>
      </c>
      <c r="L23" s="2" t="s">
        <v>109</v>
      </c>
      <c r="M23" s="2" t="s">
        <v>109</v>
      </c>
      <c r="N23" s="2" t="s">
        <v>109</v>
      </c>
      <c r="O23" s="2" t="s">
        <v>111</v>
      </c>
      <c r="P23" s="2" t="s">
        <v>109</v>
      </c>
      <c r="Q23" s="2" t="s">
        <v>109</v>
      </c>
      <c r="R23" s="2" t="s">
        <v>111</v>
      </c>
      <c r="S23" s="2" t="s">
        <v>109</v>
      </c>
      <c r="T23" s="2" t="s">
        <v>109</v>
      </c>
      <c r="U23" s="2" t="s">
        <v>111</v>
      </c>
      <c r="V23" s="2" t="s">
        <v>109</v>
      </c>
      <c r="W23" s="2" t="s">
        <v>109</v>
      </c>
      <c r="X23" s="2" t="s">
        <v>111</v>
      </c>
      <c r="AB23" s="2" t="s">
        <v>109</v>
      </c>
      <c r="AC23" s="2" t="s">
        <v>109</v>
      </c>
      <c r="AD23" s="2" t="s">
        <v>111</v>
      </c>
      <c r="AE23" s="2" t="s">
        <v>109</v>
      </c>
      <c r="AF23" s="2" t="s">
        <v>109</v>
      </c>
      <c r="AG23" s="2" t="s">
        <v>111</v>
      </c>
      <c r="AH23" s="3" t="s">
        <v>111</v>
      </c>
      <c r="AI23" s="2" t="s">
        <v>109</v>
      </c>
      <c r="AJ23" s="2" t="s">
        <v>111</v>
      </c>
      <c r="AK23" s="2">
        <v>95</v>
      </c>
      <c r="AL23" s="2">
        <v>85</v>
      </c>
      <c r="AM23" s="2">
        <v>15</v>
      </c>
      <c r="AN23" s="3" t="s">
        <v>109</v>
      </c>
      <c r="AO23" s="2">
        <v>95</v>
      </c>
      <c r="AP23" s="2">
        <v>40</v>
      </c>
      <c r="AQ23" s="2">
        <v>45</v>
      </c>
      <c r="AR23" s="2">
        <v>15</v>
      </c>
      <c r="AS23" s="2">
        <v>20</v>
      </c>
      <c r="AT23" s="2">
        <v>20</v>
      </c>
      <c r="AU23" s="2">
        <v>85</v>
      </c>
      <c r="AV23" s="2">
        <v>15</v>
      </c>
      <c r="AY23" s="2">
        <v>5</v>
      </c>
      <c r="BA23" s="2">
        <v>95</v>
      </c>
      <c r="BB23" s="2">
        <v>5</v>
      </c>
      <c r="BC23" s="2">
        <v>10</v>
      </c>
      <c r="BD23" s="2">
        <v>20</v>
      </c>
      <c r="BE23" s="2">
        <v>45</v>
      </c>
      <c r="BH23" s="2">
        <v>5</v>
      </c>
      <c r="BI23" s="2">
        <v>15</v>
      </c>
      <c r="BJ23" s="2">
        <v>1</v>
      </c>
      <c r="BK23" s="2">
        <v>15</v>
      </c>
      <c r="BU23" s="2">
        <v>6</v>
      </c>
      <c r="BV23" s="2">
        <v>7</v>
      </c>
      <c r="BW23" s="2">
        <v>8</v>
      </c>
      <c r="BX23" s="2">
        <v>4</v>
      </c>
      <c r="BY23" s="2">
        <v>8</v>
      </c>
      <c r="BZ23" s="2">
        <v>5</v>
      </c>
      <c r="CA23" s="2">
        <v>1</v>
      </c>
      <c r="CD23" s="3" t="s">
        <v>109</v>
      </c>
      <c r="CE23" s="2" t="s">
        <v>109</v>
      </c>
      <c r="CF23" s="2" t="s">
        <v>111</v>
      </c>
      <c r="CG23" s="2" t="s">
        <v>111</v>
      </c>
      <c r="CH23" s="2" t="s">
        <v>109</v>
      </c>
      <c r="CI23" s="3" t="s">
        <v>111</v>
      </c>
      <c r="CJ23" s="3" t="s">
        <v>111</v>
      </c>
      <c r="CK23" s="2" t="s">
        <v>109</v>
      </c>
      <c r="CL23" s="3" t="s">
        <v>111</v>
      </c>
      <c r="CM23" s="2">
        <v>10000</v>
      </c>
      <c r="CN23" s="2" t="s">
        <v>121</v>
      </c>
      <c r="CO23" s="3">
        <v>100000</v>
      </c>
      <c r="CP23" s="2">
        <v>60000</v>
      </c>
      <c r="CQ23" s="2">
        <v>2017</v>
      </c>
      <c r="CR23" s="2">
        <v>2017</v>
      </c>
      <c r="CS23" s="2">
        <v>34</v>
      </c>
      <c r="CT23" s="2">
        <v>66</v>
      </c>
      <c r="CU23" s="2">
        <v>65</v>
      </c>
      <c r="CV23" s="2">
        <v>35</v>
      </c>
      <c r="CW23" s="2">
        <v>10</v>
      </c>
      <c r="CX23" s="2">
        <v>15</v>
      </c>
      <c r="CY23" s="2">
        <v>0</v>
      </c>
      <c r="CZ23" s="2">
        <v>5</v>
      </c>
      <c r="DA23" s="2">
        <v>20</v>
      </c>
      <c r="DB23" s="2">
        <v>0</v>
      </c>
      <c r="DC23" s="2">
        <v>25</v>
      </c>
      <c r="DD23" s="2">
        <v>25</v>
      </c>
      <c r="DE23" s="2">
        <v>0</v>
      </c>
      <c r="DG23" s="2">
        <v>20</v>
      </c>
      <c r="DH23" s="2">
        <v>10</v>
      </c>
      <c r="DI23" s="2">
        <v>5</v>
      </c>
      <c r="DJ23" s="2">
        <v>15</v>
      </c>
      <c r="DK23" s="2">
        <v>10</v>
      </c>
      <c r="DL23" s="2">
        <v>10</v>
      </c>
      <c r="DM23" s="2">
        <v>10</v>
      </c>
      <c r="DN23" s="2">
        <v>20</v>
      </c>
      <c r="DO23" s="2">
        <v>0</v>
      </c>
      <c r="DQ23" s="2">
        <v>1.5</v>
      </c>
      <c r="DR23" s="2">
        <v>10</v>
      </c>
      <c r="DS23" s="2">
        <v>2017</v>
      </c>
      <c r="DT23" s="2">
        <v>2017</v>
      </c>
      <c r="DU23" s="3" t="s">
        <v>109</v>
      </c>
      <c r="DV23" s="3" t="s">
        <v>111</v>
      </c>
      <c r="DW23" s="3" t="s">
        <v>109</v>
      </c>
      <c r="DX23" s="3" t="s">
        <v>109</v>
      </c>
      <c r="DY23" s="3" t="s">
        <v>109</v>
      </c>
      <c r="DZ23" s="3" t="s">
        <v>109</v>
      </c>
      <c r="EA23" s="3" t="s">
        <v>111</v>
      </c>
      <c r="EB23" s="3" t="s">
        <v>111</v>
      </c>
      <c r="EC23" s="3" t="s">
        <v>111</v>
      </c>
    </row>
    <row r="24" spans="1:133" x14ac:dyDescent="0.2">
      <c r="A24" s="2" t="s">
        <v>216</v>
      </c>
      <c r="B24" s="2" t="s">
        <v>238</v>
      </c>
      <c r="C24" s="2" t="s">
        <v>166</v>
      </c>
      <c r="D24" s="2" t="s">
        <v>109</v>
      </c>
      <c r="G24" s="2" t="s">
        <v>109</v>
      </c>
      <c r="H24" s="2" t="s">
        <v>109</v>
      </c>
      <c r="I24" s="2" t="s">
        <v>111</v>
      </c>
      <c r="J24" s="2" t="s">
        <v>109</v>
      </c>
      <c r="K24" s="2" t="s">
        <v>111</v>
      </c>
      <c r="L24" s="2" t="s">
        <v>111</v>
      </c>
      <c r="M24" s="2" t="s">
        <v>109</v>
      </c>
      <c r="N24" s="2" t="s">
        <v>109</v>
      </c>
      <c r="O24" s="2" t="s">
        <v>111</v>
      </c>
      <c r="P24" s="2" t="s">
        <v>109</v>
      </c>
      <c r="Q24" s="2" t="s">
        <v>109</v>
      </c>
      <c r="R24" s="2" t="s">
        <v>111</v>
      </c>
      <c r="S24" s="2" t="s">
        <v>109</v>
      </c>
      <c r="T24" s="2" t="s">
        <v>109</v>
      </c>
      <c r="U24" s="2" t="s">
        <v>111</v>
      </c>
      <c r="V24" s="2" t="s">
        <v>109</v>
      </c>
      <c r="W24" s="2" t="s">
        <v>109</v>
      </c>
      <c r="X24" s="2" t="s">
        <v>111</v>
      </c>
      <c r="Y24" s="2" t="s">
        <v>109</v>
      </c>
      <c r="Z24" s="2" t="s">
        <v>111</v>
      </c>
      <c r="AA24" s="2" t="s">
        <v>111</v>
      </c>
      <c r="AB24" s="2" t="s">
        <v>111</v>
      </c>
      <c r="AC24" s="2" t="s">
        <v>111</v>
      </c>
      <c r="AD24" s="2" t="s">
        <v>109</v>
      </c>
      <c r="AE24" s="2" t="s">
        <v>111</v>
      </c>
      <c r="AF24" s="2" t="s">
        <v>111</v>
      </c>
      <c r="AG24" s="2" t="s">
        <v>109</v>
      </c>
      <c r="AH24" s="3" t="s">
        <v>111</v>
      </c>
      <c r="AI24" s="2" t="s">
        <v>111</v>
      </c>
      <c r="AJ24" s="2" t="s">
        <v>109</v>
      </c>
      <c r="AK24" s="2">
        <v>100</v>
      </c>
      <c r="AL24" s="2">
        <v>65</v>
      </c>
      <c r="AM24" s="2">
        <v>35</v>
      </c>
      <c r="AN24" s="3" t="s">
        <v>111</v>
      </c>
      <c r="AO24" s="2">
        <v>80</v>
      </c>
    </row>
    <row r="25" spans="1:133" x14ac:dyDescent="0.2">
      <c r="A25" s="8" t="s">
        <v>224</v>
      </c>
      <c r="B25" s="2" t="s">
        <v>238</v>
      </c>
      <c r="C25" s="2" t="s">
        <v>166</v>
      </c>
      <c r="D25" s="2" t="s">
        <v>109</v>
      </c>
      <c r="E25" s="2" t="s">
        <v>120</v>
      </c>
      <c r="F25" s="3">
        <v>1</v>
      </c>
      <c r="G25" s="2" t="s">
        <v>111</v>
      </c>
      <c r="L25" s="2" t="s">
        <v>111</v>
      </c>
      <c r="M25" s="2" t="s">
        <v>111</v>
      </c>
      <c r="N25" s="2" t="s">
        <v>111</v>
      </c>
      <c r="O25" s="2" t="s">
        <v>109</v>
      </c>
      <c r="P25" s="2" t="s">
        <v>109</v>
      </c>
      <c r="Q25" s="2" t="s">
        <v>111</v>
      </c>
      <c r="R25" s="2" t="s">
        <v>111</v>
      </c>
      <c r="S25" s="2" t="s">
        <v>111</v>
      </c>
      <c r="T25" s="2" t="s">
        <v>111</v>
      </c>
      <c r="U25" s="2" t="s">
        <v>109</v>
      </c>
      <c r="V25" s="2" t="s">
        <v>111</v>
      </c>
      <c r="W25" s="2" t="s">
        <v>111</v>
      </c>
      <c r="X25" s="2" t="s">
        <v>109</v>
      </c>
      <c r="Y25" s="2" t="s">
        <v>111</v>
      </c>
      <c r="Z25" s="2" t="s">
        <v>111</v>
      </c>
      <c r="AA25" s="2" t="s">
        <v>109</v>
      </c>
      <c r="AB25" s="2" t="s">
        <v>109</v>
      </c>
      <c r="AC25" s="2" t="s">
        <v>111</v>
      </c>
      <c r="AD25" s="2" t="s">
        <v>111</v>
      </c>
      <c r="AE25" s="2" t="s">
        <v>111</v>
      </c>
      <c r="AF25" s="2" t="s">
        <v>111</v>
      </c>
      <c r="AG25" s="2" t="s">
        <v>109</v>
      </c>
      <c r="AH25" s="3" t="s">
        <v>111</v>
      </c>
      <c r="AI25" s="2" t="s">
        <v>111</v>
      </c>
      <c r="AJ25" s="2" t="s">
        <v>109</v>
      </c>
      <c r="AK25" s="2">
        <v>80</v>
      </c>
      <c r="AL25" s="2">
        <v>80</v>
      </c>
      <c r="AM25" s="2">
        <v>20</v>
      </c>
      <c r="AN25" s="3" t="s">
        <v>111</v>
      </c>
    </row>
    <row r="26" spans="1:133" x14ac:dyDescent="0.2">
      <c r="A26" s="3" t="s">
        <v>211</v>
      </c>
      <c r="B26" s="3" t="s">
        <v>236</v>
      </c>
      <c r="C26" s="3" t="s">
        <v>166</v>
      </c>
      <c r="D26" s="3" t="s">
        <v>109</v>
      </c>
      <c r="E26" s="3" t="s">
        <v>110</v>
      </c>
      <c r="F26" s="3">
        <v>2.1</v>
      </c>
      <c r="G26" s="3" t="s">
        <v>111</v>
      </c>
      <c r="H26" s="3"/>
      <c r="I26" s="3"/>
      <c r="J26" s="3"/>
      <c r="K26" s="3"/>
      <c r="L26" s="3" t="s">
        <v>109</v>
      </c>
      <c r="M26" s="3" t="s">
        <v>109</v>
      </c>
      <c r="N26" s="3" t="s">
        <v>111</v>
      </c>
      <c r="O26" s="3" t="s">
        <v>111</v>
      </c>
      <c r="P26" s="3" t="s">
        <v>109</v>
      </c>
      <c r="Q26" s="3" t="s">
        <v>109</v>
      </c>
      <c r="R26" s="3" t="s">
        <v>111</v>
      </c>
      <c r="S26" s="3" t="s">
        <v>109</v>
      </c>
      <c r="T26" s="3" t="s">
        <v>111</v>
      </c>
      <c r="U26" s="3" t="s">
        <v>111</v>
      </c>
      <c r="V26" s="3" t="s">
        <v>111</v>
      </c>
      <c r="W26" s="3" t="s">
        <v>111</v>
      </c>
      <c r="X26" s="3" t="s">
        <v>109</v>
      </c>
      <c r="Y26" s="3" t="s">
        <v>111</v>
      </c>
      <c r="Z26" s="3" t="s">
        <v>111</v>
      </c>
      <c r="AA26" s="3" t="s">
        <v>109</v>
      </c>
      <c r="AB26" s="3" t="s">
        <v>111</v>
      </c>
      <c r="AC26" s="3" t="s">
        <v>111</v>
      </c>
      <c r="AD26" s="3" t="s">
        <v>109</v>
      </c>
      <c r="AE26" s="3" t="s">
        <v>109</v>
      </c>
      <c r="AF26" s="3" t="s">
        <v>111</v>
      </c>
      <c r="AG26" s="3" t="s">
        <v>111</v>
      </c>
      <c r="AH26" s="3" t="s">
        <v>111</v>
      </c>
      <c r="AI26" s="3" t="s">
        <v>111</v>
      </c>
      <c r="AJ26" s="3" t="s">
        <v>109</v>
      </c>
      <c r="AK26" s="3">
        <v>5</v>
      </c>
      <c r="AL26" s="3">
        <v>7</v>
      </c>
      <c r="AM26" s="3"/>
      <c r="AN26" s="3" t="s">
        <v>109</v>
      </c>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E26" s="3"/>
      <c r="CF26" s="3"/>
      <c r="CG26" s="3"/>
      <c r="CH26" s="3"/>
      <c r="CJ26" s="3"/>
      <c r="CK26" s="3"/>
      <c r="CL26" s="3"/>
      <c r="CM26" s="3"/>
      <c r="CN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row>
    <row r="27" spans="1:133" x14ac:dyDescent="0.2">
      <c r="A27" s="8" t="s">
        <v>224</v>
      </c>
      <c r="B27" s="2" t="s">
        <v>238</v>
      </c>
      <c r="C27" s="2" t="s">
        <v>166</v>
      </c>
      <c r="D27" s="2" t="s">
        <v>109</v>
      </c>
    </row>
    <row r="28" spans="1:133" x14ac:dyDescent="0.2">
      <c r="A28" s="8" t="s">
        <v>227</v>
      </c>
      <c r="B28" s="2" t="s">
        <v>238</v>
      </c>
      <c r="C28" s="2" t="s">
        <v>166</v>
      </c>
      <c r="D28" s="2" t="s">
        <v>109</v>
      </c>
      <c r="E28" s="2" t="s">
        <v>120</v>
      </c>
      <c r="F28" s="3">
        <v>0</v>
      </c>
      <c r="G28" s="2" t="s">
        <v>111</v>
      </c>
      <c r="L28" s="2" t="s">
        <v>111</v>
      </c>
      <c r="M28" s="2" t="s">
        <v>111</v>
      </c>
      <c r="N28" s="2" t="s">
        <v>111</v>
      </c>
      <c r="O28" s="2" t="s">
        <v>109</v>
      </c>
      <c r="P28" s="2" t="s">
        <v>109</v>
      </c>
      <c r="Q28" s="2" t="s">
        <v>111</v>
      </c>
      <c r="R28" s="2" t="s">
        <v>111</v>
      </c>
      <c r="S28" s="2" t="s">
        <v>111</v>
      </c>
      <c r="T28" s="2" t="s">
        <v>111</v>
      </c>
      <c r="U28" s="2" t="s">
        <v>109</v>
      </c>
      <c r="V28" s="2" t="s">
        <v>111</v>
      </c>
      <c r="W28" s="2" t="s">
        <v>111</v>
      </c>
      <c r="X28" s="2" t="s">
        <v>109</v>
      </c>
      <c r="Y28" s="2" t="s">
        <v>111</v>
      </c>
      <c r="Z28" s="2" t="s">
        <v>111</v>
      </c>
      <c r="AA28" s="2" t="s">
        <v>109</v>
      </c>
      <c r="AB28" s="2" t="s">
        <v>111</v>
      </c>
      <c r="AC28" s="2" t="s">
        <v>111</v>
      </c>
      <c r="AD28" s="2" t="s">
        <v>109</v>
      </c>
      <c r="AE28" s="2" t="s">
        <v>111</v>
      </c>
      <c r="AF28" s="2" t="s">
        <v>111</v>
      </c>
      <c r="AG28" s="2" t="s">
        <v>109</v>
      </c>
      <c r="AH28" s="3" t="s">
        <v>111</v>
      </c>
      <c r="AI28" s="2" t="s">
        <v>111</v>
      </c>
      <c r="AJ28" s="2" t="s">
        <v>109</v>
      </c>
      <c r="AK28" s="2">
        <v>25</v>
      </c>
      <c r="AL28" s="2">
        <v>0</v>
      </c>
      <c r="AM28" s="2">
        <v>100</v>
      </c>
      <c r="AN28" s="3" t="s">
        <v>111</v>
      </c>
    </row>
    <row r="29" spans="1:133" x14ac:dyDescent="0.2">
      <c r="A29" s="2" t="s">
        <v>211</v>
      </c>
      <c r="B29" s="2" t="s">
        <v>236</v>
      </c>
      <c r="C29" s="2" t="s">
        <v>166</v>
      </c>
      <c r="D29" s="2" t="s">
        <v>109</v>
      </c>
      <c r="E29" s="2" t="s">
        <v>116</v>
      </c>
      <c r="F29" s="3">
        <v>39</v>
      </c>
      <c r="G29" s="2" t="s">
        <v>109</v>
      </c>
      <c r="H29" s="2" t="s">
        <v>109</v>
      </c>
      <c r="I29" s="2" t="s">
        <v>111</v>
      </c>
      <c r="J29" s="2" t="s">
        <v>109</v>
      </c>
      <c r="K29" s="2" t="s">
        <v>111</v>
      </c>
      <c r="L29" s="2" t="s">
        <v>109</v>
      </c>
      <c r="M29" s="2" t="s">
        <v>109</v>
      </c>
      <c r="N29" s="2" t="s">
        <v>109</v>
      </c>
      <c r="O29" s="2" t="s">
        <v>111</v>
      </c>
      <c r="P29" s="2" t="s">
        <v>109</v>
      </c>
      <c r="Q29" s="2" t="s">
        <v>109</v>
      </c>
      <c r="R29" s="2" t="s">
        <v>111</v>
      </c>
      <c r="S29" s="2" t="s">
        <v>109</v>
      </c>
      <c r="T29" s="2" t="s">
        <v>109</v>
      </c>
      <c r="U29" s="2" t="s">
        <v>111</v>
      </c>
      <c r="V29" s="2" t="s">
        <v>111</v>
      </c>
      <c r="W29" s="2" t="s">
        <v>111</v>
      </c>
      <c r="X29" s="2" t="s">
        <v>109</v>
      </c>
      <c r="Y29" s="2" t="s">
        <v>111</v>
      </c>
      <c r="Z29" s="2" t="s">
        <v>111</v>
      </c>
      <c r="AA29" s="2" t="s">
        <v>109</v>
      </c>
      <c r="AB29" s="2" t="s">
        <v>111</v>
      </c>
      <c r="AC29" s="2" t="s">
        <v>111</v>
      </c>
      <c r="AD29" s="2" t="s">
        <v>109</v>
      </c>
      <c r="AE29" s="2" t="s">
        <v>109</v>
      </c>
      <c r="AF29" s="2" t="s">
        <v>109</v>
      </c>
      <c r="AG29" s="2" t="s">
        <v>111</v>
      </c>
      <c r="AH29" s="3" t="s">
        <v>111</v>
      </c>
      <c r="AI29" s="2" t="s">
        <v>109</v>
      </c>
      <c r="AJ29" s="2" t="s">
        <v>111</v>
      </c>
      <c r="AK29" s="2">
        <v>80</v>
      </c>
      <c r="AL29" s="2">
        <v>10</v>
      </c>
      <c r="AM29" s="2">
        <v>30</v>
      </c>
      <c r="AN29" s="3" t="s">
        <v>109</v>
      </c>
      <c r="AO29" s="2">
        <v>100</v>
      </c>
      <c r="AP29" s="2">
        <v>80</v>
      </c>
      <c r="AQ29" s="2">
        <v>10</v>
      </c>
      <c r="AR29" s="2">
        <v>40</v>
      </c>
      <c r="AS29" s="2">
        <v>25</v>
      </c>
      <c r="AT29" s="2">
        <v>25</v>
      </c>
      <c r="AU29" s="2">
        <v>10</v>
      </c>
      <c r="AV29" s="2">
        <v>80</v>
      </c>
      <c r="AW29" s="2">
        <v>10</v>
      </c>
      <c r="AZ29" s="2">
        <v>20</v>
      </c>
      <c r="BA29" s="2">
        <v>80</v>
      </c>
      <c r="BB29" s="2">
        <v>100</v>
      </c>
      <c r="BC29" s="2">
        <v>100</v>
      </c>
      <c r="BD29" s="2">
        <v>80</v>
      </c>
      <c r="BE29" s="2">
        <v>80</v>
      </c>
      <c r="BF29" s="2">
        <v>80</v>
      </c>
      <c r="BG29" s="2">
        <v>80</v>
      </c>
      <c r="BP29" s="2">
        <v>60</v>
      </c>
      <c r="BQ29" s="2">
        <v>60</v>
      </c>
      <c r="BU29" s="2">
        <v>8</v>
      </c>
      <c r="BV29" s="2">
        <v>8</v>
      </c>
      <c r="BW29" s="2">
        <v>8</v>
      </c>
      <c r="BX29" s="2">
        <v>8</v>
      </c>
      <c r="BY29" s="2">
        <v>8</v>
      </c>
      <c r="BZ29" s="2">
        <v>9</v>
      </c>
      <c r="CA29" s="2">
        <v>2</v>
      </c>
      <c r="CD29" s="3" t="s">
        <v>109</v>
      </c>
      <c r="CE29" s="2" t="s">
        <v>109</v>
      </c>
      <c r="CF29" s="2" t="s">
        <v>109</v>
      </c>
      <c r="CG29" s="2" t="s">
        <v>111</v>
      </c>
      <c r="CH29" s="2" t="s">
        <v>111</v>
      </c>
      <c r="CI29" s="3" t="s">
        <v>109</v>
      </c>
      <c r="CJ29" s="3" t="s">
        <v>111</v>
      </c>
      <c r="CK29" s="2" t="s">
        <v>109</v>
      </c>
      <c r="CL29" s="3" t="s">
        <v>111</v>
      </c>
      <c r="CM29" s="2">
        <v>728390</v>
      </c>
      <c r="CN29" s="2" t="s">
        <v>113</v>
      </c>
      <c r="CO29" s="3">
        <v>200000</v>
      </c>
      <c r="CQ29" s="2">
        <v>2016</v>
      </c>
    </row>
    <row r="30" spans="1:133" x14ac:dyDescent="0.2">
      <c r="A30" s="8" t="s">
        <v>224</v>
      </c>
      <c r="B30" s="2" t="s">
        <v>238</v>
      </c>
      <c r="C30" s="2" t="s">
        <v>166</v>
      </c>
      <c r="D30" s="2" t="s">
        <v>109</v>
      </c>
      <c r="E30" s="2" t="s">
        <v>122</v>
      </c>
      <c r="F30" s="3">
        <v>0</v>
      </c>
      <c r="G30" s="2" t="s">
        <v>109</v>
      </c>
      <c r="H30" s="2" t="s">
        <v>109</v>
      </c>
      <c r="I30" s="2" t="s">
        <v>111</v>
      </c>
      <c r="J30" s="2" t="s">
        <v>111</v>
      </c>
      <c r="K30" s="2" t="s">
        <v>111</v>
      </c>
      <c r="L30" s="2" t="s">
        <v>111</v>
      </c>
      <c r="M30" s="2" t="s">
        <v>109</v>
      </c>
      <c r="N30" s="2" t="s">
        <v>111</v>
      </c>
      <c r="O30" s="2" t="s">
        <v>111</v>
      </c>
      <c r="P30" s="2" t="s">
        <v>109</v>
      </c>
      <c r="Q30" s="2" t="s">
        <v>111</v>
      </c>
      <c r="R30" s="2" t="s">
        <v>111</v>
      </c>
      <c r="V30" s="2" t="s">
        <v>109</v>
      </c>
      <c r="W30" s="2" t="s">
        <v>111</v>
      </c>
      <c r="X30" s="2" t="s">
        <v>111</v>
      </c>
      <c r="AE30" s="2" t="s">
        <v>109</v>
      </c>
      <c r="AF30" s="2" t="s">
        <v>111</v>
      </c>
      <c r="AG30" s="2" t="s">
        <v>111</v>
      </c>
      <c r="AK30" s="2">
        <v>97</v>
      </c>
      <c r="AL30" s="2">
        <v>0</v>
      </c>
      <c r="AM30" s="2">
        <v>3</v>
      </c>
      <c r="AN30" s="3" t="s">
        <v>111</v>
      </c>
    </row>
    <row r="31" spans="1:133" x14ac:dyDescent="0.2">
      <c r="A31" s="8" t="s">
        <v>224</v>
      </c>
      <c r="B31" s="2" t="s">
        <v>238</v>
      </c>
      <c r="C31" s="2" t="s">
        <v>166</v>
      </c>
      <c r="D31" s="2" t="s">
        <v>109</v>
      </c>
      <c r="E31" s="2" t="s">
        <v>112</v>
      </c>
      <c r="F31" s="3">
        <v>0</v>
      </c>
      <c r="G31" s="2" t="s">
        <v>109</v>
      </c>
      <c r="H31" s="2" t="s">
        <v>109</v>
      </c>
      <c r="I31" s="2" t="s">
        <v>109</v>
      </c>
      <c r="J31" s="2" t="s">
        <v>109</v>
      </c>
      <c r="K31" s="2" t="s">
        <v>109</v>
      </c>
      <c r="L31" s="2" t="s">
        <v>119</v>
      </c>
      <c r="M31" s="2" t="s">
        <v>109</v>
      </c>
      <c r="N31" s="2" t="s">
        <v>111</v>
      </c>
      <c r="O31" s="2" t="s">
        <v>111</v>
      </c>
      <c r="P31" s="2" t="s">
        <v>111</v>
      </c>
      <c r="Q31" s="2" t="s">
        <v>111</v>
      </c>
      <c r="R31" s="2" t="s">
        <v>109</v>
      </c>
      <c r="S31" s="2" t="s">
        <v>109</v>
      </c>
      <c r="T31" s="2" t="s">
        <v>111</v>
      </c>
      <c r="U31" s="2" t="s">
        <v>111</v>
      </c>
      <c r="V31" s="2" t="s">
        <v>111</v>
      </c>
      <c r="W31" s="2" t="s">
        <v>111</v>
      </c>
      <c r="X31" s="2" t="s">
        <v>109</v>
      </c>
      <c r="Y31" s="2" t="s">
        <v>111</v>
      </c>
      <c r="Z31" s="2" t="s">
        <v>111</v>
      </c>
      <c r="AA31" s="2" t="s">
        <v>109</v>
      </c>
      <c r="AB31" s="2" t="s">
        <v>109</v>
      </c>
      <c r="AC31" s="2" t="s">
        <v>109</v>
      </c>
      <c r="AD31" s="2" t="s">
        <v>111</v>
      </c>
      <c r="AE31" s="2" t="s">
        <v>111</v>
      </c>
      <c r="AF31" s="2" t="s">
        <v>109</v>
      </c>
      <c r="AG31" s="2" t="s">
        <v>111</v>
      </c>
      <c r="AH31" s="3" t="s">
        <v>111</v>
      </c>
      <c r="AI31" s="2" t="s">
        <v>111</v>
      </c>
      <c r="AJ31" s="2" t="s">
        <v>109</v>
      </c>
      <c r="AK31" s="2">
        <v>70</v>
      </c>
      <c r="AL31" s="2">
        <v>30</v>
      </c>
      <c r="AM31" s="2">
        <v>30</v>
      </c>
      <c r="AN31" s="3" t="s">
        <v>109</v>
      </c>
      <c r="AO31" s="2">
        <v>10</v>
      </c>
      <c r="AP31" s="2">
        <v>10</v>
      </c>
      <c r="AQ31" s="2">
        <v>40</v>
      </c>
      <c r="AR31" s="2">
        <v>10</v>
      </c>
      <c r="AS31" s="2">
        <v>10</v>
      </c>
      <c r="AT31" s="2">
        <v>40</v>
      </c>
      <c r="AU31" s="2">
        <v>20</v>
      </c>
      <c r="AV31" s="2">
        <v>60</v>
      </c>
      <c r="AX31" s="2">
        <v>20</v>
      </c>
      <c r="AY31" s="2">
        <v>45</v>
      </c>
      <c r="AZ31" s="2">
        <v>45</v>
      </c>
      <c r="BA31" s="2">
        <v>10</v>
      </c>
      <c r="BB31" s="2">
        <v>1</v>
      </c>
      <c r="BC31" s="2">
        <v>10</v>
      </c>
      <c r="BD31" s="2">
        <v>1</v>
      </c>
      <c r="BE31" s="2">
        <v>10</v>
      </c>
      <c r="BF31" s="2">
        <v>1</v>
      </c>
      <c r="BG31" s="2">
        <v>1</v>
      </c>
      <c r="BH31" s="2">
        <v>1</v>
      </c>
      <c r="BI31" s="2">
        <v>1</v>
      </c>
      <c r="BJ31" s="2">
        <v>1</v>
      </c>
      <c r="BK31" s="2">
        <v>10</v>
      </c>
      <c r="BP31" s="2">
        <v>1</v>
      </c>
      <c r="BQ31" s="2">
        <v>10</v>
      </c>
      <c r="BU31" s="2">
        <v>2</v>
      </c>
      <c r="BV31" s="2">
        <v>3</v>
      </c>
      <c r="BW31" s="2">
        <v>7</v>
      </c>
      <c r="BX31" s="2">
        <v>1</v>
      </c>
      <c r="BY31" s="2">
        <v>1</v>
      </c>
      <c r="BZ31" s="2">
        <v>8</v>
      </c>
      <c r="CA31" s="2">
        <v>1</v>
      </c>
      <c r="CB31" s="2">
        <v>8</v>
      </c>
      <c r="CC31" s="2" t="s">
        <v>163</v>
      </c>
      <c r="CD31" s="3" t="s">
        <v>111</v>
      </c>
      <c r="CN31" s="2" t="s">
        <v>117</v>
      </c>
      <c r="CO31" s="3">
        <v>100</v>
      </c>
      <c r="CP31" s="2">
        <v>0</v>
      </c>
      <c r="CQ31" s="2">
        <v>2017</v>
      </c>
      <c r="CR31" s="2">
        <v>2017</v>
      </c>
      <c r="CS31" s="2">
        <v>30</v>
      </c>
      <c r="CT31" s="2">
        <v>70</v>
      </c>
      <c r="CU31" s="2">
        <v>60</v>
      </c>
      <c r="CV31" s="2">
        <v>40</v>
      </c>
      <c r="CW31" s="2">
        <v>10</v>
      </c>
      <c r="CX31" s="2">
        <v>10</v>
      </c>
      <c r="CY31" s="2">
        <v>0</v>
      </c>
      <c r="CZ31" s="2">
        <v>0</v>
      </c>
      <c r="DA31" s="2">
        <v>20</v>
      </c>
      <c r="DB31" s="2">
        <v>5</v>
      </c>
      <c r="DC31" s="2">
        <v>40</v>
      </c>
      <c r="DD31" s="2">
        <v>15</v>
      </c>
      <c r="DE31" s="2">
        <v>0</v>
      </c>
      <c r="DG31" s="2">
        <v>10</v>
      </c>
      <c r="DH31" s="2">
        <v>5</v>
      </c>
      <c r="DI31" s="2">
        <v>5</v>
      </c>
      <c r="DJ31" s="2">
        <v>0</v>
      </c>
      <c r="DK31" s="2">
        <v>20</v>
      </c>
      <c r="DL31" s="2">
        <v>10</v>
      </c>
      <c r="DM31" s="2">
        <v>30</v>
      </c>
      <c r="DN31" s="2">
        <v>20</v>
      </c>
      <c r="DO31" s="2">
        <v>0</v>
      </c>
      <c r="DQ31" s="2">
        <v>0</v>
      </c>
      <c r="DR31" s="2">
        <v>1</v>
      </c>
      <c r="DS31" s="2">
        <v>2017</v>
      </c>
      <c r="DT31" s="2">
        <v>2017</v>
      </c>
      <c r="DU31" s="3" t="s">
        <v>109</v>
      </c>
      <c r="DV31" s="3" t="s">
        <v>111</v>
      </c>
      <c r="DW31" s="3" t="s">
        <v>111</v>
      </c>
      <c r="DX31" s="3" t="s">
        <v>109</v>
      </c>
      <c r="DY31" s="3" t="s">
        <v>109</v>
      </c>
      <c r="DZ31" s="3" t="s">
        <v>111</v>
      </c>
      <c r="EA31" s="3" t="s">
        <v>111</v>
      </c>
      <c r="EB31" s="3" t="s">
        <v>111</v>
      </c>
      <c r="EC31" s="3" t="s">
        <v>111</v>
      </c>
    </row>
    <row r="32" spans="1:133" x14ac:dyDescent="0.2">
      <c r="A32" s="8" t="s">
        <v>224</v>
      </c>
      <c r="B32" s="2" t="s">
        <v>238</v>
      </c>
      <c r="C32" s="2" t="s">
        <v>166</v>
      </c>
      <c r="D32" s="2" t="s">
        <v>109</v>
      </c>
      <c r="E32" s="2" t="s">
        <v>116</v>
      </c>
      <c r="F32" s="3">
        <v>18</v>
      </c>
      <c r="G32" s="2" t="s">
        <v>109</v>
      </c>
      <c r="H32" s="2" t="s">
        <v>109</v>
      </c>
      <c r="I32" s="2" t="s">
        <v>109</v>
      </c>
      <c r="J32" s="2" t="s">
        <v>109</v>
      </c>
      <c r="K32" s="2" t="s">
        <v>111</v>
      </c>
      <c r="L32" s="2" t="s">
        <v>109</v>
      </c>
      <c r="M32" s="2" t="s">
        <v>109</v>
      </c>
      <c r="N32" s="2" t="s">
        <v>111</v>
      </c>
      <c r="O32" s="2" t="s">
        <v>111</v>
      </c>
      <c r="P32" s="2" t="s">
        <v>109</v>
      </c>
      <c r="Q32" s="2" t="s">
        <v>109</v>
      </c>
      <c r="R32" s="2" t="s">
        <v>111</v>
      </c>
      <c r="S32" s="2" t="s">
        <v>109</v>
      </c>
      <c r="T32" s="2" t="s">
        <v>111</v>
      </c>
      <c r="U32" s="2" t="s">
        <v>111</v>
      </c>
      <c r="V32" s="2" t="s">
        <v>109</v>
      </c>
      <c r="W32" s="2" t="s">
        <v>111</v>
      </c>
      <c r="X32" s="2" t="s">
        <v>111</v>
      </c>
      <c r="Y32" s="2" t="s">
        <v>109</v>
      </c>
      <c r="Z32" s="2" t="s">
        <v>111</v>
      </c>
      <c r="AA32" s="2" t="s">
        <v>111</v>
      </c>
      <c r="AB32" s="2" t="s">
        <v>111</v>
      </c>
      <c r="AC32" s="2" t="s">
        <v>111</v>
      </c>
      <c r="AD32" s="2" t="s">
        <v>109</v>
      </c>
      <c r="AE32" s="2" t="s">
        <v>109</v>
      </c>
      <c r="AF32" s="2" t="s">
        <v>109</v>
      </c>
      <c r="AG32" s="2" t="s">
        <v>111</v>
      </c>
      <c r="AH32" s="3" t="s">
        <v>111</v>
      </c>
      <c r="AI32" s="2" t="s">
        <v>111</v>
      </c>
      <c r="AJ32" s="2" t="s">
        <v>109</v>
      </c>
      <c r="AK32" s="2">
        <v>100</v>
      </c>
      <c r="AL32" s="2">
        <v>30</v>
      </c>
      <c r="AM32" s="2">
        <v>70</v>
      </c>
      <c r="AN32" s="3" t="s">
        <v>109</v>
      </c>
      <c r="AO32" s="2">
        <v>80</v>
      </c>
      <c r="AP32" s="2">
        <v>80</v>
      </c>
      <c r="AQ32" s="2">
        <v>80</v>
      </c>
      <c r="AR32" s="2">
        <v>10</v>
      </c>
      <c r="AS32" s="2">
        <v>10</v>
      </c>
      <c r="AY32" s="2">
        <v>20</v>
      </c>
      <c r="BA32" s="2">
        <v>80</v>
      </c>
      <c r="BB32" s="2">
        <v>80</v>
      </c>
      <c r="BC32" s="2">
        <v>85</v>
      </c>
      <c r="BQ32" s="2">
        <v>80</v>
      </c>
      <c r="BU32" s="2">
        <v>10</v>
      </c>
      <c r="BV32" s="2">
        <v>5</v>
      </c>
      <c r="BW32" s="2">
        <v>10</v>
      </c>
      <c r="BX32" s="2">
        <v>3</v>
      </c>
      <c r="BY32" s="2">
        <v>10</v>
      </c>
      <c r="BZ32" s="2">
        <v>7</v>
      </c>
      <c r="CA32" s="2">
        <v>2</v>
      </c>
      <c r="CD32" s="3" t="s">
        <v>109</v>
      </c>
      <c r="CE32" s="2" t="s">
        <v>109</v>
      </c>
      <c r="CF32" s="2" t="s">
        <v>111</v>
      </c>
      <c r="CG32" s="2" t="s">
        <v>111</v>
      </c>
      <c r="CH32" s="2" t="s">
        <v>111</v>
      </c>
      <c r="CI32" s="3" t="s">
        <v>109</v>
      </c>
      <c r="CJ32" s="3" t="s">
        <v>111</v>
      </c>
      <c r="CK32" s="3" t="s">
        <v>111</v>
      </c>
      <c r="CL32" s="3" t="s">
        <v>111</v>
      </c>
      <c r="CN32" s="2" t="s">
        <v>117</v>
      </c>
      <c r="CO32" s="3">
        <v>50000</v>
      </c>
      <c r="CP32" s="2">
        <v>60000</v>
      </c>
      <c r="CQ32" s="2">
        <v>2016</v>
      </c>
      <c r="CR32" s="2">
        <v>2016</v>
      </c>
      <c r="CS32" s="2">
        <v>40</v>
      </c>
      <c r="CT32" s="2">
        <v>60</v>
      </c>
      <c r="CU32" s="2">
        <v>75</v>
      </c>
      <c r="CV32" s="2">
        <v>25</v>
      </c>
      <c r="CW32" s="2">
        <v>10</v>
      </c>
      <c r="CX32" s="2">
        <v>1</v>
      </c>
      <c r="CY32" s="2">
        <v>0</v>
      </c>
      <c r="CZ32" s="2">
        <v>10</v>
      </c>
      <c r="DA32" s="2">
        <v>20</v>
      </c>
      <c r="DB32" s="2">
        <v>1</v>
      </c>
      <c r="DC32" s="2">
        <v>8</v>
      </c>
      <c r="DD32" s="2">
        <v>50</v>
      </c>
      <c r="DE32" s="2">
        <v>0</v>
      </c>
      <c r="DG32" s="2">
        <v>50</v>
      </c>
      <c r="DH32" s="2">
        <v>2</v>
      </c>
      <c r="DI32" s="2">
        <v>0</v>
      </c>
      <c r="DJ32" s="2">
        <v>1</v>
      </c>
      <c r="DK32" s="2">
        <v>20</v>
      </c>
      <c r="DL32" s="2">
        <v>5</v>
      </c>
      <c r="DM32" s="2">
        <v>2</v>
      </c>
      <c r="DN32" s="2">
        <v>20</v>
      </c>
      <c r="DO32" s="2">
        <v>0</v>
      </c>
      <c r="DQ32" s="2">
        <v>1.2</v>
      </c>
      <c r="DR32" s="2">
        <v>0.2</v>
      </c>
      <c r="DS32" s="2">
        <v>2016</v>
      </c>
      <c r="DT32" s="2">
        <v>2016</v>
      </c>
      <c r="DU32" s="3" t="s">
        <v>111</v>
      </c>
      <c r="DV32" s="3" t="s">
        <v>111</v>
      </c>
      <c r="DW32" s="3" t="s">
        <v>111</v>
      </c>
      <c r="DX32" s="3" t="s">
        <v>109</v>
      </c>
      <c r="DY32" s="3" t="s">
        <v>109</v>
      </c>
      <c r="DZ32" s="3" t="s">
        <v>111</v>
      </c>
      <c r="EA32" s="3" t="s">
        <v>109</v>
      </c>
      <c r="EB32" s="3" t="s">
        <v>111</v>
      </c>
      <c r="EC32" s="3" t="s">
        <v>111</v>
      </c>
    </row>
    <row r="33" spans="1:133" x14ac:dyDescent="0.2">
      <c r="A33" s="8" t="s">
        <v>224</v>
      </c>
      <c r="B33" s="2" t="s">
        <v>238</v>
      </c>
      <c r="C33" s="2" t="s">
        <v>166</v>
      </c>
      <c r="D33" s="2" t="s">
        <v>109</v>
      </c>
      <c r="E33" s="2" t="s">
        <v>122</v>
      </c>
      <c r="F33" s="3">
        <v>0</v>
      </c>
      <c r="G33" s="2" t="s">
        <v>109</v>
      </c>
      <c r="H33" s="2" t="s">
        <v>109</v>
      </c>
      <c r="I33" s="2" t="s">
        <v>111</v>
      </c>
      <c r="J33" s="2" t="s">
        <v>111</v>
      </c>
      <c r="K33" s="2" t="s">
        <v>111</v>
      </c>
      <c r="L33" s="2" t="s">
        <v>111</v>
      </c>
      <c r="P33" s="2" t="s">
        <v>109</v>
      </c>
      <c r="Q33" s="2" t="s">
        <v>109</v>
      </c>
      <c r="R33" s="2" t="s">
        <v>111</v>
      </c>
      <c r="V33" s="2" t="s">
        <v>109</v>
      </c>
      <c r="W33" s="2" t="s">
        <v>109</v>
      </c>
      <c r="X33" s="2" t="s">
        <v>111</v>
      </c>
      <c r="AK33" s="2">
        <v>90</v>
      </c>
      <c r="AL33" s="2">
        <v>90</v>
      </c>
      <c r="AM33" s="2">
        <v>10</v>
      </c>
      <c r="AN33" s="3" t="s">
        <v>111</v>
      </c>
    </row>
    <row r="34" spans="1:133" x14ac:dyDescent="0.2">
      <c r="A34" s="8" t="s">
        <v>224</v>
      </c>
      <c r="B34" s="2" t="s">
        <v>238</v>
      </c>
      <c r="C34" s="2" t="s">
        <v>166</v>
      </c>
      <c r="D34" s="2" t="s">
        <v>109</v>
      </c>
      <c r="E34" s="2" t="s">
        <v>116</v>
      </c>
      <c r="F34" s="3">
        <v>15</v>
      </c>
      <c r="G34" s="2" t="s">
        <v>109</v>
      </c>
      <c r="H34" s="2" t="s">
        <v>109</v>
      </c>
      <c r="I34" s="2" t="s">
        <v>111</v>
      </c>
      <c r="J34" s="2" t="s">
        <v>109</v>
      </c>
      <c r="K34" s="2" t="s">
        <v>111</v>
      </c>
      <c r="L34" s="2" t="s">
        <v>111</v>
      </c>
      <c r="M34" s="2" t="s">
        <v>109</v>
      </c>
      <c r="N34" s="2" t="s">
        <v>111</v>
      </c>
      <c r="O34" s="2" t="s">
        <v>111</v>
      </c>
      <c r="P34" s="2" t="s">
        <v>109</v>
      </c>
      <c r="Q34" s="2" t="s">
        <v>109</v>
      </c>
      <c r="R34" s="2" t="s">
        <v>111</v>
      </c>
      <c r="S34" s="2" t="s">
        <v>109</v>
      </c>
      <c r="T34" s="2" t="s">
        <v>111</v>
      </c>
      <c r="U34" s="2" t="s">
        <v>111</v>
      </c>
      <c r="V34" s="2" t="s">
        <v>109</v>
      </c>
      <c r="W34" s="2" t="s">
        <v>109</v>
      </c>
      <c r="X34" s="2" t="s">
        <v>111</v>
      </c>
      <c r="Y34" s="2" t="s">
        <v>111</v>
      </c>
      <c r="Z34" s="2" t="s">
        <v>111</v>
      </c>
      <c r="AA34" s="2" t="s">
        <v>109</v>
      </c>
      <c r="AB34" s="2" t="s">
        <v>111</v>
      </c>
      <c r="AC34" s="2" t="s">
        <v>111</v>
      </c>
      <c r="AD34" s="2" t="s">
        <v>109</v>
      </c>
      <c r="AE34" s="2" t="s">
        <v>111</v>
      </c>
      <c r="AF34" s="2" t="s">
        <v>111</v>
      </c>
      <c r="AG34" s="2" t="s">
        <v>109</v>
      </c>
      <c r="AH34" s="3" t="s">
        <v>111</v>
      </c>
      <c r="AI34" s="2" t="s">
        <v>111</v>
      </c>
      <c r="AJ34" s="2" t="s">
        <v>109</v>
      </c>
      <c r="AK34" s="2">
        <v>100</v>
      </c>
      <c r="AL34" s="2">
        <v>29</v>
      </c>
      <c r="AM34" s="2">
        <v>70</v>
      </c>
      <c r="AN34" s="3" t="s">
        <v>111</v>
      </c>
    </row>
    <row r="35" spans="1:133" s="3" customFormat="1" x14ac:dyDescent="0.2">
      <c r="A35" s="2" t="s">
        <v>211</v>
      </c>
      <c r="B35" s="2" t="s">
        <v>236</v>
      </c>
      <c r="C35" s="2" t="s">
        <v>166</v>
      </c>
      <c r="D35" s="2" t="s">
        <v>109</v>
      </c>
      <c r="E35" s="2" t="s">
        <v>110</v>
      </c>
      <c r="F35" s="3">
        <v>1.5</v>
      </c>
      <c r="G35" s="2" t="s">
        <v>111</v>
      </c>
      <c r="H35" s="2"/>
      <c r="I35" s="2"/>
      <c r="J35" s="2"/>
      <c r="K35" s="2"/>
      <c r="L35" s="2" t="s">
        <v>109</v>
      </c>
      <c r="M35" s="2" t="s">
        <v>109</v>
      </c>
      <c r="N35" s="2" t="s">
        <v>109</v>
      </c>
      <c r="O35" s="2" t="s">
        <v>111</v>
      </c>
      <c r="P35" s="2" t="s">
        <v>109</v>
      </c>
      <c r="Q35" s="2" t="s">
        <v>109</v>
      </c>
      <c r="R35" s="2" t="s">
        <v>111</v>
      </c>
      <c r="S35" s="2" t="s">
        <v>109</v>
      </c>
      <c r="T35" s="2" t="s">
        <v>109</v>
      </c>
      <c r="U35" s="2" t="s">
        <v>111</v>
      </c>
      <c r="V35" s="2"/>
      <c r="W35" s="2"/>
      <c r="X35" s="2"/>
      <c r="Y35" s="2"/>
      <c r="Z35" s="2"/>
      <c r="AA35" s="2"/>
      <c r="AB35" s="2"/>
      <c r="AC35" s="2"/>
      <c r="AD35" s="2"/>
      <c r="AE35" s="2" t="s">
        <v>109</v>
      </c>
      <c r="AF35" s="2" t="s">
        <v>111</v>
      </c>
      <c r="AG35" s="2" t="s">
        <v>111</v>
      </c>
      <c r="AH35" s="3" t="s">
        <v>111</v>
      </c>
      <c r="AI35" s="2" t="s">
        <v>109</v>
      </c>
      <c r="AJ35" s="2" t="s">
        <v>111</v>
      </c>
      <c r="AK35" s="2">
        <v>95</v>
      </c>
      <c r="AL35" s="2">
        <v>15</v>
      </c>
      <c r="AM35" s="2">
        <v>25</v>
      </c>
      <c r="AN35" s="3" t="s">
        <v>109</v>
      </c>
      <c r="AO35" s="2">
        <v>50</v>
      </c>
      <c r="AP35" s="2">
        <v>15</v>
      </c>
      <c r="AQ35" s="2">
        <v>30</v>
      </c>
      <c r="AR35" s="2">
        <v>35</v>
      </c>
      <c r="AS35" s="2">
        <v>10</v>
      </c>
      <c r="AT35" s="2">
        <v>25</v>
      </c>
      <c r="AU35" s="2">
        <v>30</v>
      </c>
      <c r="AV35" s="2">
        <v>60</v>
      </c>
      <c r="AW35" s="2">
        <v>5</v>
      </c>
      <c r="AX35" s="2">
        <v>5</v>
      </c>
      <c r="AY35" s="2">
        <v>20</v>
      </c>
      <c r="AZ35" s="2">
        <v>30</v>
      </c>
      <c r="BA35" s="2">
        <v>50</v>
      </c>
      <c r="BB35" s="2">
        <v>70</v>
      </c>
      <c r="BC35" s="2">
        <v>80</v>
      </c>
      <c r="BD35" s="2"/>
      <c r="BE35" s="2"/>
      <c r="BF35" s="2"/>
      <c r="BG35" s="2"/>
      <c r="BH35" s="2"/>
      <c r="BI35" s="2"/>
      <c r="BJ35" s="2"/>
      <c r="BK35" s="2"/>
      <c r="BL35" s="2"/>
      <c r="BM35" s="2"/>
      <c r="BN35" s="2"/>
      <c r="BO35" s="2"/>
      <c r="BP35" s="2"/>
      <c r="BQ35" s="2"/>
      <c r="BR35" s="2"/>
      <c r="BS35" s="2"/>
      <c r="BT35" s="2"/>
      <c r="BU35" s="2">
        <v>5</v>
      </c>
      <c r="BV35" s="2">
        <v>1</v>
      </c>
      <c r="BW35" s="2">
        <v>5</v>
      </c>
      <c r="BX35" s="2"/>
      <c r="BY35" s="2">
        <v>9</v>
      </c>
      <c r="BZ35" s="2">
        <v>9</v>
      </c>
      <c r="CA35" s="2">
        <v>1</v>
      </c>
      <c r="CB35" s="2"/>
      <c r="CC35" s="2"/>
      <c r="CD35" s="3" t="s">
        <v>109</v>
      </c>
      <c r="CE35" s="2" t="s">
        <v>109</v>
      </c>
      <c r="CF35" s="2" t="s">
        <v>111</v>
      </c>
      <c r="CG35" s="2" t="s">
        <v>111</v>
      </c>
      <c r="CH35" s="2" t="s">
        <v>111</v>
      </c>
      <c r="CI35" s="3" t="s">
        <v>111</v>
      </c>
      <c r="CJ35" s="3" t="s">
        <v>111</v>
      </c>
      <c r="CK35" s="3" t="s">
        <v>111</v>
      </c>
      <c r="CL35" s="3" t="s">
        <v>111</v>
      </c>
      <c r="CM35" s="2">
        <v>16000</v>
      </c>
      <c r="CN35" s="2" t="s">
        <v>117</v>
      </c>
      <c r="CO35" s="3">
        <v>10000</v>
      </c>
      <c r="CP35" s="2"/>
      <c r="CQ35" s="2">
        <v>2016</v>
      </c>
      <c r="CR35" s="2"/>
      <c r="CS35" s="2">
        <v>30</v>
      </c>
      <c r="CT35" s="2">
        <v>70</v>
      </c>
      <c r="CU35" s="2">
        <v>60</v>
      </c>
      <c r="CV35" s="2">
        <v>40</v>
      </c>
      <c r="CW35" s="2">
        <v>10</v>
      </c>
      <c r="CX35" s="2">
        <v>10</v>
      </c>
      <c r="CY35" s="2">
        <v>0</v>
      </c>
      <c r="CZ35" s="2">
        <v>10</v>
      </c>
      <c r="DA35" s="2">
        <v>30</v>
      </c>
      <c r="DB35" s="2">
        <v>0</v>
      </c>
      <c r="DC35" s="2">
        <v>30</v>
      </c>
      <c r="DD35" s="2">
        <v>10</v>
      </c>
      <c r="DE35" s="2">
        <v>0</v>
      </c>
      <c r="DF35" s="2"/>
      <c r="DG35" s="2">
        <v>20</v>
      </c>
      <c r="DH35" s="2">
        <v>20</v>
      </c>
      <c r="DI35" s="2">
        <v>0</v>
      </c>
      <c r="DJ35" s="2">
        <v>10</v>
      </c>
      <c r="DK35" s="2">
        <v>20</v>
      </c>
      <c r="DL35" s="2">
        <v>10</v>
      </c>
      <c r="DM35" s="2">
        <v>0</v>
      </c>
      <c r="DN35" s="2">
        <v>20</v>
      </c>
      <c r="DO35" s="2">
        <v>0</v>
      </c>
      <c r="DP35" s="2"/>
      <c r="DQ35" s="2">
        <v>1</v>
      </c>
      <c r="DR35" s="2">
        <v>1</v>
      </c>
      <c r="DS35" s="2">
        <v>2016</v>
      </c>
      <c r="DT35" s="2">
        <v>2016</v>
      </c>
      <c r="DU35" s="3" t="s">
        <v>109</v>
      </c>
      <c r="DV35" s="3" t="s">
        <v>111</v>
      </c>
      <c r="DW35" s="3" t="s">
        <v>111</v>
      </c>
      <c r="DX35" s="3" t="s">
        <v>111</v>
      </c>
      <c r="DY35" s="3" t="s">
        <v>111</v>
      </c>
      <c r="DZ35" s="3" t="s">
        <v>111</v>
      </c>
      <c r="EA35" s="3" t="s">
        <v>111</v>
      </c>
      <c r="EB35" s="3" t="s">
        <v>111</v>
      </c>
    </row>
    <row r="36" spans="1:133" x14ac:dyDescent="0.2">
      <c r="A36" s="2" t="s">
        <v>211</v>
      </c>
      <c r="B36" s="2" t="s">
        <v>236</v>
      </c>
      <c r="C36" s="2" t="s">
        <v>166</v>
      </c>
      <c r="D36" s="2" t="s">
        <v>109</v>
      </c>
      <c r="E36" s="2" t="s">
        <v>116</v>
      </c>
      <c r="F36" s="3">
        <v>28</v>
      </c>
      <c r="G36" s="2" t="s">
        <v>111</v>
      </c>
      <c r="L36" s="2" t="s">
        <v>109</v>
      </c>
      <c r="M36" s="2" t="s">
        <v>109</v>
      </c>
      <c r="N36" s="2" t="s">
        <v>109</v>
      </c>
      <c r="O36" s="2" t="s">
        <v>111</v>
      </c>
      <c r="P36" s="2" t="s">
        <v>109</v>
      </c>
      <c r="Q36" s="2" t="s">
        <v>109</v>
      </c>
      <c r="R36" s="2" t="s">
        <v>111</v>
      </c>
      <c r="S36" s="2" t="s">
        <v>109</v>
      </c>
      <c r="T36" s="2" t="s">
        <v>109</v>
      </c>
      <c r="U36" s="2" t="s">
        <v>111</v>
      </c>
      <c r="V36" s="2" t="s">
        <v>109</v>
      </c>
      <c r="W36" s="2" t="s">
        <v>109</v>
      </c>
      <c r="X36" s="2" t="s">
        <v>111</v>
      </c>
      <c r="Y36" s="2" t="s">
        <v>111</v>
      </c>
      <c r="Z36" s="2" t="s">
        <v>111</v>
      </c>
      <c r="AA36" s="2" t="s">
        <v>109</v>
      </c>
      <c r="AB36" s="2" t="s">
        <v>111</v>
      </c>
      <c r="AC36" s="2" t="s">
        <v>111</v>
      </c>
      <c r="AD36" s="2" t="s">
        <v>109</v>
      </c>
      <c r="AE36" s="2" t="s">
        <v>109</v>
      </c>
      <c r="AF36" s="2" t="s">
        <v>109</v>
      </c>
      <c r="AG36" s="2" t="s">
        <v>111</v>
      </c>
      <c r="AH36" s="3" t="s">
        <v>111</v>
      </c>
      <c r="AI36" s="2" t="s">
        <v>109</v>
      </c>
      <c r="AJ36" s="2" t="s">
        <v>111</v>
      </c>
      <c r="AK36" s="2">
        <v>80</v>
      </c>
      <c r="AL36" s="2">
        <v>5</v>
      </c>
      <c r="AM36" s="2">
        <v>20</v>
      </c>
      <c r="AN36" s="3" t="s">
        <v>109</v>
      </c>
      <c r="AO36" s="2">
        <v>20</v>
      </c>
      <c r="AP36" s="2">
        <v>20</v>
      </c>
      <c r="AQ36" s="2">
        <v>80</v>
      </c>
      <c r="AS36" s="2">
        <v>20</v>
      </c>
      <c r="AU36" s="2">
        <v>100</v>
      </c>
      <c r="AZ36" s="2">
        <v>5</v>
      </c>
      <c r="BA36" s="2">
        <v>95</v>
      </c>
      <c r="BB36" s="2">
        <v>100</v>
      </c>
      <c r="BC36" s="2">
        <v>100</v>
      </c>
      <c r="BD36" s="2">
        <v>50</v>
      </c>
      <c r="BE36" s="2">
        <v>100</v>
      </c>
      <c r="BF36" s="2">
        <v>10</v>
      </c>
      <c r="BG36" s="2">
        <v>100</v>
      </c>
      <c r="BJ36" s="2">
        <v>1</v>
      </c>
      <c r="BK36" s="2">
        <v>5</v>
      </c>
      <c r="BP36" s="2">
        <v>50</v>
      </c>
      <c r="BQ36" s="2">
        <v>100</v>
      </c>
      <c r="BU36" s="2">
        <v>8</v>
      </c>
      <c r="BV36" s="2">
        <v>4</v>
      </c>
      <c r="BW36" s="2">
        <v>8</v>
      </c>
      <c r="BX36" s="2">
        <v>4</v>
      </c>
      <c r="BY36" s="2">
        <v>5</v>
      </c>
      <c r="BZ36" s="2">
        <v>8</v>
      </c>
      <c r="CA36" s="2">
        <v>4</v>
      </c>
      <c r="CB36" s="2">
        <v>8</v>
      </c>
      <c r="CC36" s="2" t="s">
        <v>162</v>
      </c>
      <c r="CD36" s="3" t="s">
        <v>109</v>
      </c>
      <c r="CE36" s="2" t="s">
        <v>109</v>
      </c>
      <c r="CF36" s="2" t="s">
        <v>109</v>
      </c>
      <c r="CG36" s="2" t="s">
        <v>111</v>
      </c>
      <c r="CH36" s="2" t="s">
        <v>111</v>
      </c>
      <c r="CI36" s="3" t="s">
        <v>111</v>
      </c>
      <c r="CJ36" s="3" t="s">
        <v>111</v>
      </c>
      <c r="CK36" s="3" t="s">
        <v>111</v>
      </c>
      <c r="CL36" s="3" t="s">
        <v>111</v>
      </c>
      <c r="CN36" s="2" t="s">
        <v>115</v>
      </c>
      <c r="CO36" s="3">
        <v>50000</v>
      </c>
      <c r="CQ36" s="2">
        <v>2016</v>
      </c>
      <c r="CS36" s="2">
        <v>0</v>
      </c>
      <c r="CT36" s="2">
        <v>100</v>
      </c>
      <c r="CU36" s="2">
        <v>100</v>
      </c>
      <c r="CV36" s="2">
        <v>0</v>
      </c>
      <c r="DG36" s="2">
        <v>75</v>
      </c>
      <c r="DH36" s="2">
        <v>10</v>
      </c>
      <c r="DI36" s="2">
        <v>10</v>
      </c>
      <c r="DJ36" s="2">
        <v>0</v>
      </c>
      <c r="DK36" s="2">
        <v>5</v>
      </c>
      <c r="DL36" s="2">
        <v>0</v>
      </c>
      <c r="DM36" s="2">
        <v>0</v>
      </c>
      <c r="DN36" s="2">
        <v>0</v>
      </c>
      <c r="DO36" s="2">
        <v>0</v>
      </c>
      <c r="DQ36" s="2">
        <v>1</v>
      </c>
      <c r="DS36" s="2">
        <v>2016</v>
      </c>
      <c r="DU36" s="3" t="s">
        <v>109</v>
      </c>
      <c r="DV36" s="3" t="s">
        <v>111</v>
      </c>
      <c r="DW36" s="3" t="s">
        <v>111</v>
      </c>
      <c r="DX36" s="3" t="s">
        <v>111</v>
      </c>
      <c r="DY36" s="3" t="s">
        <v>111</v>
      </c>
      <c r="DZ36" s="3" t="s">
        <v>111</v>
      </c>
      <c r="EA36" s="3" t="s">
        <v>111</v>
      </c>
      <c r="EB36" s="3" t="s">
        <v>111</v>
      </c>
      <c r="EC36" s="3" t="s">
        <v>111</v>
      </c>
    </row>
    <row r="37" spans="1:133" x14ac:dyDescent="0.2">
      <c r="A37" s="2" t="s">
        <v>211</v>
      </c>
      <c r="B37" s="2" t="s">
        <v>236</v>
      </c>
      <c r="C37" s="2" t="s">
        <v>166</v>
      </c>
      <c r="D37" s="2" t="s">
        <v>109</v>
      </c>
      <c r="E37" s="2" t="s">
        <v>120</v>
      </c>
      <c r="F37" s="3">
        <v>6.1</v>
      </c>
      <c r="G37" s="2" t="s">
        <v>109</v>
      </c>
      <c r="H37" s="2" t="s">
        <v>109</v>
      </c>
      <c r="I37" s="2" t="s">
        <v>109</v>
      </c>
      <c r="J37" s="2" t="s">
        <v>109</v>
      </c>
      <c r="K37" s="2" t="s">
        <v>109</v>
      </c>
      <c r="L37" s="2" t="s">
        <v>109</v>
      </c>
      <c r="M37" s="2" t="s">
        <v>109</v>
      </c>
      <c r="N37" s="2" t="s">
        <v>109</v>
      </c>
      <c r="O37" s="2" t="s">
        <v>111</v>
      </c>
      <c r="P37" s="2" t="s">
        <v>109</v>
      </c>
      <c r="Q37" s="2" t="s">
        <v>109</v>
      </c>
      <c r="R37" s="2" t="s">
        <v>111</v>
      </c>
      <c r="S37" s="2" t="s">
        <v>109</v>
      </c>
      <c r="T37" s="2" t="s">
        <v>109</v>
      </c>
      <c r="U37" s="2" t="s">
        <v>111</v>
      </c>
      <c r="V37" s="2" t="s">
        <v>111</v>
      </c>
      <c r="W37" s="2" t="s">
        <v>111</v>
      </c>
      <c r="X37" s="2" t="s">
        <v>109</v>
      </c>
      <c r="Y37" s="2" t="s">
        <v>111</v>
      </c>
      <c r="Z37" s="2" t="s">
        <v>111</v>
      </c>
      <c r="AA37" s="2" t="s">
        <v>109</v>
      </c>
      <c r="AB37" s="2" t="s">
        <v>111</v>
      </c>
      <c r="AC37" s="2" t="s">
        <v>111</v>
      </c>
      <c r="AD37" s="2" t="s">
        <v>109</v>
      </c>
      <c r="AE37" s="2" t="s">
        <v>109</v>
      </c>
      <c r="AF37" s="2" t="s">
        <v>109</v>
      </c>
      <c r="AG37" s="2" t="s">
        <v>111</v>
      </c>
      <c r="AH37" s="3" t="s">
        <v>111</v>
      </c>
      <c r="AI37" s="2" t="s">
        <v>111</v>
      </c>
      <c r="AJ37" s="2" t="s">
        <v>109</v>
      </c>
      <c r="AK37" s="2">
        <v>95</v>
      </c>
      <c r="AL37" s="2">
        <v>8</v>
      </c>
      <c r="AM37" s="2">
        <v>25</v>
      </c>
      <c r="AN37" s="3" t="s">
        <v>109</v>
      </c>
      <c r="AO37" s="2">
        <v>90</v>
      </c>
      <c r="AP37" s="2">
        <v>50</v>
      </c>
      <c r="AQ37" s="2">
        <v>75</v>
      </c>
      <c r="AR37" s="2">
        <v>0</v>
      </c>
      <c r="AS37" s="2">
        <v>15</v>
      </c>
      <c r="AT37" s="2">
        <v>10</v>
      </c>
      <c r="AU37" s="2">
        <v>75</v>
      </c>
      <c r="AV37" s="2">
        <v>0</v>
      </c>
      <c r="AW37" s="2">
        <v>15</v>
      </c>
      <c r="AX37" s="2">
        <v>10</v>
      </c>
      <c r="AY37" s="2">
        <v>0</v>
      </c>
      <c r="AZ37" s="2">
        <v>0</v>
      </c>
      <c r="BA37" s="2">
        <v>100</v>
      </c>
      <c r="BB37" s="2">
        <v>100</v>
      </c>
      <c r="BC37" s="2">
        <v>100</v>
      </c>
      <c r="BF37" s="2">
        <v>10</v>
      </c>
      <c r="BG37" s="2">
        <v>15</v>
      </c>
      <c r="BH37" s="2">
        <v>90</v>
      </c>
      <c r="BI37" s="2">
        <v>90</v>
      </c>
      <c r="BU37" s="2">
        <v>10</v>
      </c>
      <c r="BV37" s="2">
        <v>5</v>
      </c>
      <c r="BW37" s="2">
        <v>8</v>
      </c>
      <c r="BX37" s="2">
        <v>5</v>
      </c>
      <c r="BY37" s="2">
        <v>8</v>
      </c>
      <c r="BZ37" s="2">
        <v>10</v>
      </c>
      <c r="CA37" s="2">
        <v>1</v>
      </c>
      <c r="CD37" s="3" t="s">
        <v>109</v>
      </c>
      <c r="CE37" s="2" t="s">
        <v>109</v>
      </c>
      <c r="CF37" s="2" t="s">
        <v>111</v>
      </c>
      <c r="CG37" s="2" t="s">
        <v>111</v>
      </c>
      <c r="CH37" s="2" t="s">
        <v>111</v>
      </c>
      <c r="CI37" s="3" t="s">
        <v>111</v>
      </c>
      <c r="CJ37" s="2" t="s">
        <v>109</v>
      </c>
      <c r="CK37" s="3" t="s">
        <v>111</v>
      </c>
      <c r="CL37" s="3" t="s">
        <v>111</v>
      </c>
      <c r="CN37" s="2" t="s">
        <v>113</v>
      </c>
      <c r="CO37" s="3">
        <v>40000</v>
      </c>
      <c r="CP37" s="2">
        <v>0</v>
      </c>
      <c r="CQ37" s="2">
        <v>2016</v>
      </c>
      <c r="CR37" s="2">
        <v>2016</v>
      </c>
      <c r="CS37" s="2">
        <v>20</v>
      </c>
      <c r="CT37" s="2">
        <v>80</v>
      </c>
      <c r="CU37" s="2">
        <v>75</v>
      </c>
      <c r="CV37" s="2">
        <v>25</v>
      </c>
      <c r="CW37" s="2">
        <v>5</v>
      </c>
      <c r="CX37" s="2">
        <v>10</v>
      </c>
      <c r="CY37" s="2">
        <v>0</v>
      </c>
      <c r="CZ37" s="2">
        <v>5</v>
      </c>
      <c r="DA37" s="2">
        <v>20</v>
      </c>
      <c r="DB37" s="2">
        <v>0</v>
      </c>
      <c r="DC37" s="2">
        <v>30</v>
      </c>
      <c r="DD37" s="2">
        <v>30</v>
      </c>
      <c r="DE37" s="2">
        <v>0</v>
      </c>
      <c r="DG37" s="2">
        <v>40</v>
      </c>
      <c r="DH37" s="2">
        <v>10</v>
      </c>
      <c r="DI37" s="2">
        <v>20</v>
      </c>
      <c r="DJ37" s="2">
        <v>0</v>
      </c>
      <c r="DK37" s="2">
        <v>10</v>
      </c>
      <c r="DL37" s="2">
        <v>5</v>
      </c>
      <c r="DM37" s="2">
        <v>5</v>
      </c>
      <c r="DN37" s="2">
        <v>10</v>
      </c>
      <c r="DO37" s="2">
        <v>0</v>
      </c>
      <c r="DQ37" s="2">
        <v>3</v>
      </c>
      <c r="DR37" s="2">
        <v>10</v>
      </c>
      <c r="DS37" s="2">
        <v>2016</v>
      </c>
      <c r="DT37" s="2">
        <v>2016</v>
      </c>
      <c r="DU37" s="3" t="s">
        <v>109</v>
      </c>
      <c r="DV37" s="3" t="s">
        <v>111</v>
      </c>
      <c r="DW37" s="3" t="s">
        <v>111</v>
      </c>
      <c r="DX37" s="3" t="s">
        <v>111</v>
      </c>
      <c r="DY37" s="3" t="s">
        <v>111</v>
      </c>
      <c r="DZ37" s="3" t="s">
        <v>111</v>
      </c>
      <c r="EA37" s="3" t="s">
        <v>109</v>
      </c>
      <c r="EB37" s="3" t="s">
        <v>111</v>
      </c>
      <c r="EC37" s="3" t="s">
        <v>111</v>
      </c>
    </row>
    <row r="38" spans="1:133" x14ac:dyDescent="0.2">
      <c r="A38" s="2" t="s">
        <v>211</v>
      </c>
      <c r="B38" s="2" t="s">
        <v>236</v>
      </c>
      <c r="C38" s="2" t="s">
        <v>166</v>
      </c>
      <c r="D38" s="2" t="s">
        <v>109</v>
      </c>
      <c r="E38" s="2" t="s">
        <v>120</v>
      </c>
      <c r="F38" s="3">
        <v>1</v>
      </c>
      <c r="G38" s="2" t="s">
        <v>111</v>
      </c>
      <c r="L38" s="2" t="s">
        <v>111</v>
      </c>
      <c r="M38" s="2" t="s">
        <v>109</v>
      </c>
      <c r="N38" s="2" t="s">
        <v>111</v>
      </c>
      <c r="O38" s="2" t="s">
        <v>111</v>
      </c>
      <c r="P38" s="2" t="s">
        <v>109</v>
      </c>
      <c r="Q38" s="2" t="s">
        <v>111</v>
      </c>
      <c r="R38" s="2" t="s">
        <v>111</v>
      </c>
      <c r="S38" s="2" t="s">
        <v>109</v>
      </c>
      <c r="T38" s="2" t="s">
        <v>111</v>
      </c>
      <c r="U38" s="2" t="s">
        <v>111</v>
      </c>
      <c r="V38" s="2" t="s">
        <v>109</v>
      </c>
      <c r="W38" s="2" t="s">
        <v>111</v>
      </c>
      <c r="X38" s="2" t="s">
        <v>111</v>
      </c>
      <c r="Y38" s="2" t="s">
        <v>111</v>
      </c>
      <c r="Z38" s="2" t="s">
        <v>111</v>
      </c>
      <c r="AA38" s="2" t="s">
        <v>109</v>
      </c>
      <c r="AB38" s="2" t="s">
        <v>111</v>
      </c>
      <c r="AC38" s="2" t="s">
        <v>111</v>
      </c>
      <c r="AD38" s="2" t="s">
        <v>109</v>
      </c>
      <c r="AE38" s="2" t="s">
        <v>109</v>
      </c>
      <c r="AF38" s="2" t="s">
        <v>111</v>
      </c>
      <c r="AG38" s="2" t="s">
        <v>111</v>
      </c>
      <c r="AH38" s="3" t="s">
        <v>109</v>
      </c>
      <c r="AI38" s="2" t="s">
        <v>111</v>
      </c>
      <c r="AJ38" s="2" t="s">
        <v>109</v>
      </c>
      <c r="AK38" s="2">
        <v>80</v>
      </c>
      <c r="AL38" s="2">
        <v>20</v>
      </c>
      <c r="AM38" s="2">
        <v>15</v>
      </c>
      <c r="AN38" s="3" t="s">
        <v>109</v>
      </c>
      <c r="AO38" s="2">
        <v>10</v>
      </c>
      <c r="AP38" s="2">
        <v>5</v>
      </c>
      <c r="AQ38" s="2">
        <v>100</v>
      </c>
      <c r="AU38" s="2">
        <v>100</v>
      </c>
      <c r="BB38" s="2">
        <v>5</v>
      </c>
      <c r="BR38" s="2">
        <v>5</v>
      </c>
      <c r="BT38" s="2" t="s">
        <v>161</v>
      </c>
    </row>
    <row r="39" spans="1:133" x14ac:dyDescent="0.2">
      <c r="A39" s="8" t="s">
        <v>224</v>
      </c>
      <c r="B39" s="2" t="s">
        <v>238</v>
      </c>
      <c r="C39" s="2" t="s">
        <v>166</v>
      </c>
      <c r="D39" s="2" t="s">
        <v>109</v>
      </c>
      <c r="E39" s="2" t="s">
        <v>118</v>
      </c>
      <c r="F39" s="3">
        <v>6</v>
      </c>
      <c r="G39" s="2" t="s">
        <v>109</v>
      </c>
      <c r="H39" s="2" t="s">
        <v>109</v>
      </c>
      <c r="I39" s="2" t="s">
        <v>111</v>
      </c>
      <c r="J39" s="2" t="s">
        <v>109</v>
      </c>
      <c r="K39" s="2" t="s">
        <v>109</v>
      </c>
      <c r="L39" s="2" t="s">
        <v>111</v>
      </c>
      <c r="M39" s="2" t="s">
        <v>109</v>
      </c>
      <c r="N39" s="2" t="s">
        <v>109</v>
      </c>
      <c r="O39" s="2" t="s">
        <v>111</v>
      </c>
      <c r="P39" s="2" t="s">
        <v>109</v>
      </c>
      <c r="Q39" s="2" t="s">
        <v>109</v>
      </c>
      <c r="R39" s="2" t="s">
        <v>111</v>
      </c>
      <c r="S39" s="2" t="s">
        <v>109</v>
      </c>
      <c r="T39" s="2" t="s">
        <v>109</v>
      </c>
      <c r="U39" s="2" t="s">
        <v>111</v>
      </c>
      <c r="V39" s="2" t="s">
        <v>109</v>
      </c>
      <c r="W39" s="2" t="s">
        <v>109</v>
      </c>
      <c r="X39" s="2" t="s">
        <v>111</v>
      </c>
      <c r="Y39" s="2" t="s">
        <v>111</v>
      </c>
      <c r="Z39" s="2" t="s">
        <v>111</v>
      </c>
      <c r="AA39" s="2" t="s">
        <v>109</v>
      </c>
      <c r="AB39" s="2" t="s">
        <v>111</v>
      </c>
      <c r="AC39" s="2" t="s">
        <v>111</v>
      </c>
      <c r="AD39" s="2" t="s">
        <v>109</v>
      </c>
      <c r="AE39" s="2" t="s">
        <v>109</v>
      </c>
      <c r="AF39" s="2" t="s">
        <v>109</v>
      </c>
      <c r="AG39" s="2" t="s">
        <v>111</v>
      </c>
      <c r="AH39" s="3" t="s">
        <v>111</v>
      </c>
      <c r="AI39" s="2" t="s">
        <v>111</v>
      </c>
      <c r="AJ39" s="2" t="s">
        <v>109</v>
      </c>
      <c r="AK39" s="2">
        <v>97</v>
      </c>
      <c r="AL39" s="2">
        <v>40</v>
      </c>
      <c r="AM39" s="2">
        <v>40</v>
      </c>
      <c r="AN39" s="3" t="s">
        <v>109</v>
      </c>
      <c r="AO39" s="2">
        <v>15</v>
      </c>
      <c r="AP39" s="2">
        <v>14</v>
      </c>
      <c r="AY39" s="2">
        <v>63</v>
      </c>
      <c r="BA39" s="2">
        <v>37</v>
      </c>
      <c r="BF39" s="2">
        <v>33</v>
      </c>
      <c r="BG39" s="2">
        <v>33</v>
      </c>
      <c r="BJ39" s="2">
        <v>1</v>
      </c>
      <c r="BK39" s="2">
        <v>5</v>
      </c>
      <c r="BP39" s="2">
        <v>33</v>
      </c>
      <c r="BQ39" s="2">
        <v>20</v>
      </c>
      <c r="BU39" s="2">
        <v>8</v>
      </c>
      <c r="BV39" s="2">
        <v>5</v>
      </c>
      <c r="BW39" s="2">
        <v>10</v>
      </c>
      <c r="BX39" s="2">
        <v>5</v>
      </c>
      <c r="BY39" s="2">
        <v>8</v>
      </c>
      <c r="BZ39" s="2">
        <v>2</v>
      </c>
      <c r="CA39" s="2">
        <v>1</v>
      </c>
      <c r="CD39" s="3" t="s">
        <v>111</v>
      </c>
      <c r="CN39" s="2" t="s">
        <v>117</v>
      </c>
      <c r="DQ39" s="2">
        <v>0.5</v>
      </c>
      <c r="DR39" s="2">
        <v>7</v>
      </c>
      <c r="DU39" s="3" t="s">
        <v>109</v>
      </c>
      <c r="DV39" s="3" t="s">
        <v>111</v>
      </c>
      <c r="DW39" s="3" t="s">
        <v>111</v>
      </c>
      <c r="DX39" s="3" t="s">
        <v>111</v>
      </c>
      <c r="DY39" s="3" t="s">
        <v>111</v>
      </c>
      <c r="DZ39" s="3" t="s">
        <v>111</v>
      </c>
      <c r="EA39" s="3" t="s">
        <v>111</v>
      </c>
      <c r="EB39" s="3" t="s">
        <v>111</v>
      </c>
      <c r="EC39" s="3" t="s">
        <v>111</v>
      </c>
    </row>
    <row r="40" spans="1:133" s="3" customFormat="1" x14ac:dyDescent="0.2">
      <c r="A40" s="3" t="s">
        <v>211</v>
      </c>
      <c r="B40" s="3" t="s">
        <v>236</v>
      </c>
      <c r="C40" s="3" t="s">
        <v>166</v>
      </c>
      <c r="D40" s="3" t="s">
        <v>109</v>
      </c>
      <c r="E40" s="3" t="s">
        <v>116</v>
      </c>
      <c r="F40" s="3">
        <v>16</v>
      </c>
      <c r="G40" s="3" t="s">
        <v>109</v>
      </c>
      <c r="H40" s="3" t="s">
        <v>109</v>
      </c>
      <c r="I40" s="3" t="s">
        <v>109</v>
      </c>
      <c r="J40" s="3" t="s">
        <v>109</v>
      </c>
      <c r="K40" s="3" t="s">
        <v>109</v>
      </c>
      <c r="L40" s="3" t="s">
        <v>109</v>
      </c>
      <c r="M40" s="3" t="s">
        <v>109</v>
      </c>
      <c r="N40" s="3" t="s">
        <v>109</v>
      </c>
      <c r="O40" s="3" t="s">
        <v>111</v>
      </c>
      <c r="P40" s="3" t="s">
        <v>109</v>
      </c>
      <c r="Q40" s="3" t="s">
        <v>109</v>
      </c>
      <c r="R40" s="3" t="s">
        <v>111</v>
      </c>
      <c r="S40" s="3" t="s">
        <v>109</v>
      </c>
      <c r="T40" s="3" t="s">
        <v>109</v>
      </c>
      <c r="U40" s="3" t="s">
        <v>111</v>
      </c>
      <c r="V40" s="3" t="s">
        <v>111</v>
      </c>
      <c r="W40" s="3" t="s">
        <v>111</v>
      </c>
      <c r="X40" s="3" t="s">
        <v>109</v>
      </c>
      <c r="Y40" s="3" t="s">
        <v>111</v>
      </c>
      <c r="Z40" s="3" t="s">
        <v>111</v>
      </c>
      <c r="AA40" s="3" t="s">
        <v>109</v>
      </c>
      <c r="AB40" s="3" t="s">
        <v>111</v>
      </c>
      <c r="AC40" s="3" t="s">
        <v>111</v>
      </c>
      <c r="AD40" s="3" t="s">
        <v>109</v>
      </c>
      <c r="AE40" s="3" t="s">
        <v>109</v>
      </c>
      <c r="AF40" s="3" t="s">
        <v>109</v>
      </c>
      <c r="AG40" s="3" t="s">
        <v>111</v>
      </c>
      <c r="AH40" s="3" t="s">
        <v>111</v>
      </c>
      <c r="AI40" s="3" t="s">
        <v>109</v>
      </c>
      <c r="AJ40" s="3" t="s">
        <v>111</v>
      </c>
      <c r="AK40" s="3">
        <v>86</v>
      </c>
      <c r="AL40" s="3">
        <v>12</v>
      </c>
      <c r="AM40" s="3">
        <v>88</v>
      </c>
      <c r="AN40" s="3" t="s">
        <v>109</v>
      </c>
      <c r="AO40" s="3">
        <v>87</v>
      </c>
      <c r="AP40" s="3">
        <v>80</v>
      </c>
      <c r="AQ40" s="3">
        <v>80</v>
      </c>
      <c r="AR40" s="3">
        <v>5</v>
      </c>
      <c r="AS40" s="3">
        <v>5</v>
      </c>
      <c r="AT40" s="3">
        <v>10</v>
      </c>
      <c r="AU40" s="3">
        <v>80</v>
      </c>
      <c r="AV40" s="3">
        <v>5</v>
      </c>
      <c r="AW40" s="3">
        <v>5</v>
      </c>
      <c r="AX40" s="3">
        <v>10</v>
      </c>
      <c r="AY40" s="3">
        <v>10</v>
      </c>
      <c r="AZ40" s="3">
        <v>10</v>
      </c>
      <c r="BA40" s="3">
        <v>90</v>
      </c>
      <c r="BB40" s="3">
        <v>80</v>
      </c>
      <c r="BC40" s="3">
        <v>85</v>
      </c>
      <c r="BD40" s="3">
        <v>70</v>
      </c>
      <c r="BE40" s="3">
        <v>85</v>
      </c>
      <c r="BF40" s="3">
        <v>50</v>
      </c>
      <c r="BG40" s="3">
        <v>80</v>
      </c>
      <c r="BJ40" s="3">
        <v>2</v>
      </c>
      <c r="BK40" s="3">
        <v>4</v>
      </c>
      <c r="BU40" s="3">
        <v>9</v>
      </c>
      <c r="BV40" s="3">
        <v>5</v>
      </c>
      <c r="BW40" s="3">
        <v>9</v>
      </c>
      <c r="BX40" s="3">
        <v>1</v>
      </c>
      <c r="BY40" s="3">
        <v>9</v>
      </c>
      <c r="BZ40" s="3">
        <v>5</v>
      </c>
      <c r="CA40" s="3">
        <v>1</v>
      </c>
      <c r="CD40" s="3" t="s">
        <v>109</v>
      </c>
      <c r="CE40" s="3" t="s">
        <v>109</v>
      </c>
      <c r="CF40" s="3" t="s">
        <v>109</v>
      </c>
      <c r="CG40" s="3" t="s">
        <v>109</v>
      </c>
      <c r="CH40" s="3" t="s">
        <v>111</v>
      </c>
      <c r="CI40" s="3" t="s">
        <v>109</v>
      </c>
      <c r="CJ40" s="3" t="s">
        <v>111</v>
      </c>
      <c r="CK40" s="3" t="s">
        <v>109</v>
      </c>
      <c r="CL40" s="3" t="s">
        <v>111</v>
      </c>
      <c r="CN40" s="3" t="s">
        <v>117</v>
      </c>
      <c r="CO40" s="3">
        <v>15000</v>
      </c>
      <c r="CP40" s="3">
        <v>190000</v>
      </c>
      <c r="CQ40" s="3">
        <v>2016</v>
      </c>
      <c r="CR40" s="3">
        <v>2016</v>
      </c>
      <c r="CS40" s="3">
        <v>20</v>
      </c>
      <c r="CT40" s="3">
        <v>80</v>
      </c>
      <c r="CU40" s="3">
        <v>70</v>
      </c>
      <c r="CV40" s="3">
        <v>30</v>
      </c>
      <c r="CW40" s="3">
        <v>10</v>
      </c>
      <c r="CX40" s="3">
        <v>10</v>
      </c>
      <c r="CY40" s="3">
        <v>0</v>
      </c>
      <c r="CZ40" s="3">
        <v>10</v>
      </c>
      <c r="DA40" s="3">
        <v>40</v>
      </c>
      <c r="DB40" s="3">
        <v>5</v>
      </c>
      <c r="DC40" s="3">
        <v>20</v>
      </c>
      <c r="DD40" s="3">
        <v>5</v>
      </c>
      <c r="DE40" s="3">
        <v>0</v>
      </c>
      <c r="DG40" s="3">
        <v>40</v>
      </c>
      <c r="DH40" s="3">
        <v>5</v>
      </c>
      <c r="DI40" s="3">
        <v>5</v>
      </c>
      <c r="DJ40" s="3">
        <v>30</v>
      </c>
      <c r="DK40" s="3">
        <v>5</v>
      </c>
      <c r="DL40" s="3">
        <v>5</v>
      </c>
      <c r="DM40" s="3">
        <v>5</v>
      </c>
      <c r="DN40" s="3">
        <v>5</v>
      </c>
      <c r="DO40" s="3">
        <v>0</v>
      </c>
      <c r="DQ40" s="3">
        <v>13</v>
      </c>
      <c r="DS40" s="3">
        <v>2016</v>
      </c>
      <c r="DU40" s="3" t="s">
        <v>109</v>
      </c>
      <c r="DV40" s="3" t="s">
        <v>111</v>
      </c>
      <c r="DW40" s="3" t="s">
        <v>109</v>
      </c>
      <c r="DX40" s="3" t="s">
        <v>111</v>
      </c>
      <c r="DY40" s="3" t="s">
        <v>111</v>
      </c>
      <c r="DZ40" s="3" t="s">
        <v>111</v>
      </c>
      <c r="EA40" s="3" t="s">
        <v>109</v>
      </c>
      <c r="EB40" s="3" t="s">
        <v>111</v>
      </c>
      <c r="EC40" s="3" t="s">
        <v>111</v>
      </c>
    </row>
    <row r="41" spans="1:133" s="3" customFormat="1" x14ac:dyDescent="0.2">
      <c r="A41" s="2" t="s">
        <v>211</v>
      </c>
      <c r="B41" s="2" t="s">
        <v>236</v>
      </c>
      <c r="C41" s="2" t="s">
        <v>166</v>
      </c>
      <c r="D41" s="2" t="s">
        <v>109</v>
      </c>
      <c r="E41" s="2" t="s">
        <v>116</v>
      </c>
      <c r="F41" s="3">
        <v>16.100000000000001</v>
      </c>
      <c r="G41" s="2" t="s">
        <v>111</v>
      </c>
      <c r="H41" s="2"/>
      <c r="I41" s="2"/>
      <c r="J41" s="2"/>
      <c r="K41" s="2"/>
      <c r="L41" s="2" t="s">
        <v>111</v>
      </c>
      <c r="M41" s="2" t="s">
        <v>109</v>
      </c>
      <c r="N41" s="2" t="s">
        <v>111</v>
      </c>
      <c r="O41" s="2" t="s">
        <v>111</v>
      </c>
      <c r="P41" s="2" t="s">
        <v>109</v>
      </c>
      <c r="Q41" s="2" t="s">
        <v>111</v>
      </c>
      <c r="R41" s="2" t="s">
        <v>111</v>
      </c>
      <c r="S41" s="2" t="s">
        <v>109</v>
      </c>
      <c r="T41" s="2" t="s">
        <v>109</v>
      </c>
      <c r="U41" s="2" t="s">
        <v>111</v>
      </c>
      <c r="V41" s="2" t="s">
        <v>111</v>
      </c>
      <c r="W41" s="2" t="s">
        <v>111</v>
      </c>
      <c r="X41" s="2" t="s">
        <v>109</v>
      </c>
      <c r="Y41" s="2" t="s">
        <v>111</v>
      </c>
      <c r="Z41" s="2" t="s">
        <v>111</v>
      </c>
      <c r="AA41" s="2" t="s">
        <v>109</v>
      </c>
      <c r="AB41" s="2" t="s">
        <v>111</v>
      </c>
      <c r="AC41" s="2" t="s">
        <v>111</v>
      </c>
      <c r="AD41" s="2" t="s">
        <v>109</v>
      </c>
      <c r="AE41" s="2" t="s">
        <v>109</v>
      </c>
      <c r="AF41" s="2" t="s">
        <v>109</v>
      </c>
      <c r="AG41" s="2" t="s">
        <v>111</v>
      </c>
      <c r="AH41" s="3" t="s">
        <v>111</v>
      </c>
      <c r="AI41" s="2" t="s">
        <v>111</v>
      </c>
      <c r="AJ41" s="2" t="s">
        <v>109</v>
      </c>
      <c r="AK41" s="2">
        <v>80</v>
      </c>
      <c r="AL41" s="2">
        <v>15</v>
      </c>
      <c r="AM41" s="2">
        <v>15</v>
      </c>
      <c r="AN41" s="3" t="s">
        <v>109</v>
      </c>
      <c r="AO41" s="2">
        <v>90</v>
      </c>
      <c r="AP41" s="2">
        <v>90</v>
      </c>
      <c r="AQ41" s="2">
        <v>80</v>
      </c>
      <c r="AR41" s="2">
        <v>10</v>
      </c>
      <c r="AS41" s="2">
        <v>5</v>
      </c>
      <c r="AT41" s="2">
        <v>5</v>
      </c>
      <c r="AU41" s="2">
        <v>100</v>
      </c>
      <c r="AV41" s="2"/>
      <c r="AW41" s="2"/>
      <c r="AX41" s="2"/>
      <c r="AY41" s="2">
        <v>0</v>
      </c>
      <c r="AZ41" s="2">
        <v>15</v>
      </c>
      <c r="BA41" s="2">
        <v>85</v>
      </c>
      <c r="BB41" s="2">
        <v>95</v>
      </c>
      <c r="BC41" s="2">
        <v>83</v>
      </c>
      <c r="BD41" s="2">
        <v>3</v>
      </c>
      <c r="BE41" s="2">
        <v>4</v>
      </c>
      <c r="BF41" s="2">
        <v>1</v>
      </c>
      <c r="BG41" s="2">
        <v>3</v>
      </c>
      <c r="BH41" s="2"/>
      <c r="BI41" s="2">
        <v>3</v>
      </c>
      <c r="BJ41" s="2"/>
      <c r="BK41" s="2">
        <v>2</v>
      </c>
      <c r="BL41" s="2"/>
      <c r="BM41" s="2"/>
      <c r="BN41" s="2"/>
      <c r="BO41" s="2"/>
      <c r="BP41" s="2"/>
      <c r="BQ41" s="2">
        <v>2</v>
      </c>
      <c r="BR41" s="2"/>
      <c r="BS41" s="2"/>
      <c r="BT41" s="2"/>
      <c r="BU41" s="2">
        <v>5</v>
      </c>
      <c r="BV41" s="2">
        <v>5</v>
      </c>
      <c r="BW41" s="2">
        <v>5</v>
      </c>
      <c r="BX41" s="2">
        <v>1</v>
      </c>
      <c r="BY41" s="2">
        <v>9</v>
      </c>
      <c r="BZ41" s="2">
        <v>9</v>
      </c>
      <c r="CA41" s="2">
        <v>1</v>
      </c>
      <c r="CB41" s="2"/>
      <c r="CC41" s="2"/>
      <c r="CD41" s="3" t="s">
        <v>109</v>
      </c>
      <c r="CE41" s="2" t="s">
        <v>109</v>
      </c>
      <c r="CF41" s="2" t="s">
        <v>111</v>
      </c>
      <c r="CG41" s="2" t="s">
        <v>111</v>
      </c>
      <c r="CH41" s="2" t="s">
        <v>111</v>
      </c>
      <c r="CI41" s="3" t="s">
        <v>109</v>
      </c>
      <c r="CJ41" s="3" t="s">
        <v>111</v>
      </c>
      <c r="CK41" s="3" t="s">
        <v>111</v>
      </c>
      <c r="CL41" s="3" t="s">
        <v>111</v>
      </c>
      <c r="CM41" s="2"/>
      <c r="CN41" s="2" t="s">
        <v>117</v>
      </c>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row>
    <row r="42" spans="1:133" x14ac:dyDescent="0.2">
      <c r="A42" s="2" t="s">
        <v>211</v>
      </c>
      <c r="B42" s="2" t="s">
        <v>236</v>
      </c>
      <c r="C42" s="2" t="s">
        <v>166</v>
      </c>
      <c r="D42" s="2" t="s">
        <v>109</v>
      </c>
      <c r="E42" s="2" t="s">
        <v>118</v>
      </c>
      <c r="F42" s="3">
        <v>6.5</v>
      </c>
      <c r="G42" s="2" t="s">
        <v>109</v>
      </c>
      <c r="H42" s="2" t="s">
        <v>109</v>
      </c>
      <c r="I42" s="2" t="s">
        <v>111</v>
      </c>
      <c r="J42" s="2" t="s">
        <v>109</v>
      </c>
      <c r="K42" s="2" t="s">
        <v>109</v>
      </c>
      <c r="L42" s="2" t="s">
        <v>111</v>
      </c>
      <c r="M42" s="2" t="s">
        <v>109</v>
      </c>
      <c r="N42" s="2" t="s">
        <v>111</v>
      </c>
      <c r="O42" s="2" t="s">
        <v>111</v>
      </c>
      <c r="P42" s="2" t="s">
        <v>109</v>
      </c>
      <c r="Q42" s="2" t="s">
        <v>109</v>
      </c>
      <c r="R42" s="2" t="s">
        <v>111</v>
      </c>
      <c r="S42" s="2" t="s">
        <v>109</v>
      </c>
      <c r="T42" s="2" t="s">
        <v>109</v>
      </c>
      <c r="U42" s="2" t="s">
        <v>111</v>
      </c>
      <c r="V42" s="2" t="s">
        <v>111</v>
      </c>
      <c r="W42" s="2" t="s">
        <v>111</v>
      </c>
      <c r="X42" s="2" t="s">
        <v>109</v>
      </c>
      <c r="Y42" s="2" t="s">
        <v>111</v>
      </c>
      <c r="Z42" s="2" t="s">
        <v>111</v>
      </c>
      <c r="AA42" s="2" t="s">
        <v>109</v>
      </c>
      <c r="AB42" s="2" t="s">
        <v>111</v>
      </c>
      <c r="AC42" s="2" t="s">
        <v>111</v>
      </c>
      <c r="AD42" s="2" t="s">
        <v>109</v>
      </c>
      <c r="AE42" s="2" t="s">
        <v>109</v>
      </c>
      <c r="AF42" s="2" t="s">
        <v>111</v>
      </c>
      <c r="AG42" s="2" t="s">
        <v>111</v>
      </c>
      <c r="AH42" s="3" t="s">
        <v>111</v>
      </c>
      <c r="AI42" s="2" t="s">
        <v>111</v>
      </c>
      <c r="AJ42" s="2" t="s">
        <v>109</v>
      </c>
      <c r="AK42" s="2">
        <v>75</v>
      </c>
      <c r="AL42" s="2">
        <v>2</v>
      </c>
      <c r="AM42" s="2">
        <v>98</v>
      </c>
      <c r="AN42" s="3" t="s">
        <v>109</v>
      </c>
      <c r="AO42" s="2">
        <v>100</v>
      </c>
      <c r="AP42" s="2">
        <v>1</v>
      </c>
      <c r="AY42" s="2">
        <v>2</v>
      </c>
      <c r="AZ42" s="2">
        <v>2</v>
      </c>
      <c r="BA42" s="2">
        <v>1</v>
      </c>
      <c r="BB42" s="2">
        <v>1</v>
      </c>
      <c r="BC42" s="2">
        <v>2</v>
      </c>
      <c r="BD42" s="2">
        <v>1</v>
      </c>
      <c r="BE42" s="2">
        <v>2</v>
      </c>
      <c r="BF42" s="2">
        <v>1</v>
      </c>
      <c r="BG42" s="2">
        <v>2</v>
      </c>
      <c r="BU42" s="2">
        <v>10</v>
      </c>
      <c r="BV42" s="2">
        <v>10</v>
      </c>
      <c r="BW42" s="2">
        <v>10</v>
      </c>
      <c r="BX42" s="2">
        <v>1</v>
      </c>
      <c r="BY42" s="2">
        <v>10</v>
      </c>
      <c r="BZ42" s="2">
        <v>7</v>
      </c>
      <c r="CA42" s="2">
        <v>1</v>
      </c>
      <c r="CD42" s="3" t="s">
        <v>119</v>
      </c>
      <c r="CN42" s="2" t="s">
        <v>117</v>
      </c>
      <c r="CO42" s="3">
        <v>30000</v>
      </c>
      <c r="CQ42" s="2">
        <v>2017</v>
      </c>
      <c r="CS42" s="2">
        <v>15</v>
      </c>
      <c r="CT42" s="2">
        <v>85</v>
      </c>
      <c r="CU42" s="2">
        <v>5</v>
      </c>
      <c r="CV42" s="2">
        <v>95</v>
      </c>
      <c r="CW42" s="2">
        <v>0</v>
      </c>
      <c r="CX42" s="2">
        <v>0</v>
      </c>
      <c r="CY42" s="2">
        <v>0</v>
      </c>
      <c r="CZ42" s="2">
        <v>0</v>
      </c>
      <c r="DA42" s="2">
        <v>100</v>
      </c>
      <c r="DB42" s="2">
        <v>0</v>
      </c>
      <c r="DC42" s="2">
        <v>0</v>
      </c>
      <c r="DD42" s="2">
        <v>0</v>
      </c>
      <c r="DE42" s="2">
        <v>0</v>
      </c>
      <c r="DG42" s="2">
        <v>20</v>
      </c>
      <c r="DH42" s="2">
        <v>0</v>
      </c>
      <c r="DI42" s="2">
        <v>0</v>
      </c>
      <c r="DJ42" s="2">
        <v>50</v>
      </c>
      <c r="DK42" s="2">
        <v>30</v>
      </c>
      <c r="DL42" s="2">
        <v>0</v>
      </c>
      <c r="DM42" s="2">
        <v>0</v>
      </c>
      <c r="DN42" s="2">
        <v>0</v>
      </c>
      <c r="DO42" s="2">
        <v>0</v>
      </c>
      <c r="DQ42" s="2">
        <v>1</v>
      </c>
      <c r="DR42" s="2">
        <v>1</v>
      </c>
      <c r="DS42" s="2">
        <v>2017</v>
      </c>
      <c r="DT42" s="2">
        <v>2017</v>
      </c>
      <c r="DU42" s="3" t="s">
        <v>109</v>
      </c>
      <c r="DV42" s="3" t="s">
        <v>111</v>
      </c>
      <c r="DW42" s="3" t="s">
        <v>111</v>
      </c>
      <c r="DX42" s="3" t="s">
        <v>111</v>
      </c>
      <c r="DY42" s="3" t="s">
        <v>111</v>
      </c>
      <c r="DZ42" s="3" t="s">
        <v>111</v>
      </c>
      <c r="EA42" s="3" t="s">
        <v>111</v>
      </c>
      <c r="EB42" s="3" t="s">
        <v>111</v>
      </c>
    </row>
    <row r="43" spans="1:133" x14ac:dyDescent="0.2">
      <c r="A43" s="8" t="s">
        <v>224</v>
      </c>
      <c r="B43" s="2" t="s">
        <v>238</v>
      </c>
      <c r="C43" s="2" t="s">
        <v>166</v>
      </c>
      <c r="D43" s="2" t="s">
        <v>109</v>
      </c>
      <c r="E43" s="2" t="s">
        <v>112</v>
      </c>
      <c r="F43" s="3">
        <v>0</v>
      </c>
      <c r="G43" s="2" t="s">
        <v>109</v>
      </c>
      <c r="H43" s="2" t="s">
        <v>109</v>
      </c>
      <c r="I43" s="2" t="s">
        <v>111</v>
      </c>
      <c r="J43" s="2" t="s">
        <v>111</v>
      </c>
      <c r="K43" s="2" t="s">
        <v>111</v>
      </c>
      <c r="L43" s="2" t="s">
        <v>111</v>
      </c>
      <c r="V43" s="2" t="s">
        <v>109</v>
      </c>
      <c r="W43" s="2" t="s">
        <v>109</v>
      </c>
      <c r="X43" s="2" t="s">
        <v>111</v>
      </c>
      <c r="AK43" s="2">
        <v>96</v>
      </c>
      <c r="AL43" s="2">
        <v>96</v>
      </c>
      <c r="AM43" s="2">
        <v>4</v>
      </c>
      <c r="AN43" s="3" t="s">
        <v>109</v>
      </c>
      <c r="AO43" s="2">
        <v>0</v>
      </c>
      <c r="AP43" s="2">
        <v>0</v>
      </c>
      <c r="AQ43" s="2">
        <v>100</v>
      </c>
      <c r="AR43" s="2">
        <v>0</v>
      </c>
      <c r="AS43" s="2">
        <v>0</v>
      </c>
      <c r="AT43" s="2">
        <v>0</v>
      </c>
      <c r="AU43" s="2">
        <v>100</v>
      </c>
      <c r="AV43" s="2">
        <v>0</v>
      </c>
      <c r="AW43" s="2">
        <v>0</v>
      </c>
      <c r="AX43" s="2">
        <v>0</v>
      </c>
      <c r="AY43" s="2">
        <v>100</v>
      </c>
      <c r="AZ43" s="2">
        <v>0</v>
      </c>
      <c r="BA43" s="2">
        <v>0</v>
      </c>
      <c r="BU43" s="2">
        <v>1</v>
      </c>
      <c r="BV43" s="2">
        <v>1</v>
      </c>
      <c r="BW43" s="2">
        <v>8</v>
      </c>
      <c r="BX43" s="2">
        <v>1</v>
      </c>
      <c r="BY43" s="2">
        <v>8</v>
      </c>
      <c r="BZ43" s="2">
        <v>10</v>
      </c>
      <c r="CA43" s="2">
        <v>1</v>
      </c>
      <c r="CB43" s="2">
        <v>1</v>
      </c>
      <c r="CD43" s="3" t="s">
        <v>111</v>
      </c>
      <c r="CN43" s="2" t="s">
        <v>119</v>
      </c>
      <c r="CO43" s="3">
        <v>5000</v>
      </c>
      <c r="CP43" s="2">
        <v>0</v>
      </c>
      <c r="CQ43" s="2">
        <v>2016</v>
      </c>
      <c r="CR43" s="2">
        <v>2016</v>
      </c>
      <c r="CS43" s="2">
        <v>10</v>
      </c>
      <c r="CT43" s="2">
        <v>90</v>
      </c>
      <c r="CU43" s="2">
        <v>100</v>
      </c>
      <c r="CV43" s="2">
        <v>0</v>
      </c>
      <c r="CW43" s="2">
        <v>0</v>
      </c>
      <c r="CX43" s="2">
        <v>50</v>
      </c>
      <c r="CY43" s="2">
        <v>0</v>
      </c>
      <c r="CZ43" s="2">
        <v>0</v>
      </c>
      <c r="DA43" s="2">
        <v>50</v>
      </c>
      <c r="DB43" s="2">
        <v>0</v>
      </c>
      <c r="DC43" s="2">
        <v>0</v>
      </c>
      <c r="DD43" s="2">
        <v>0</v>
      </c>
      <c r="DE43" s="2">
        <v>0</v>
      </c>
      <c r="DG43" s="2">
        <v>25</v>
      </c>
      <c r="DH43" s="2">
        <v>75</v>
      </c>
      <c r="DI43" s="2">
        <v>0</v>
      </c>
      <c r="DJ43" s="2">
        <v>0</v>
      </c>
      <c r="DK43" s="2">
        <v>0</v>
      </c>
      <c r="DL43" s="2">
        <v>0</v>
      </c>
      <c r="DM43" s="2">
        <v>0</v>
      </c>
      <c r="DN43" s="2">
        <v>0</v>
      </c>
      <c r="DO43" s="2">
        <v>0</v>
      </c>
      <c r="DQ43" s="2">
        <v>0</v>
      </c>
      <c r="DR43" s="2">
        <v>1</v>
      </c>
      <c r="DS43" s="2">
        <v>2017</v>
      </c>
      <c r="DT43" s="2">
        <v>2017</v>
      </c>
      <c r="DU43" s="3" t="s">
        <v>109</v>
      </c>
      <c r="DV43" s="3" t="s">
        <v>111</v>
      </c>
      <c r="DW43" s="3" t="s">
        <v>109</v>
      </c>
      <c r="DX43" s="3" t="s">
        <v>111</v>
      </c>
      <c r="DY43" s="3" t="s">
        <v>111</v>
      </c>
      <c r="DZ43" s="3" t="s">
        <v>111</v>
      </c>
      <c r="EA43" s="3" t="s">
        <v>111</v>
      </c>
      <c r="EB43" s="3" t="s">
        <v>111</v>
      </c>
    </row>
    <row r="44" spans="1:133" x14ac:dyDescent="0.2">
      <c r="A44" s="2" t="s">
        <v>149</v>
      </c>
      <c r="B44" s="2" t="s">
        <v>215</v>
      </c>
      <c r="C44" s="2" t="s">
        <v>166</v>
      </c>
      <c r="D44" s="2" t="s">
        <v>109</v>
      </c>
      <c r="E44" s="2" t="s">
        <v>114</v>
      </c>
      <c r="F44" s="3">
        <v>147</v>
      </c>
      <c r="G44" s="2" t="s">
        <v>119</v>
      </c>
      <c r="L44" s="2" t="s">
        <v>119</v>
      </c>
      <c r="M44" s="2" t="s">
        <v>109</v>
      </c>
      <c r="N44" s="2" t="s">
        <v>111</v>
      </c>
      <c r="O44" s="2" t="s">
        <v>111</v>
      </c>
      <c r="P44" s="2" t="s">
        <v>109</v>
      </c>
      <c r="Q44" s="2" t="s">
        <v>111</v>
      </c>
      <c r="R44" s="2" t="s">
        <v>111</v>
      </c>
      <c r="Y44" s="2" t="s">
        <v>109</v>
      </c>
      <c r="Z44" s="2" t="s">
        <v>111</v>
      </c>
      <c r="AA44" s="2" t="s">
        <v>111</v>
      </c>
      <c r="AB44" s="2" t="s">
        <v>109</v>
      </c>
      <c r="AC44" s="2" t="s">
        <v>111</v>
      </c>
      <c r="AD44" s="2" t="s">
        <v>111</v>
      </c>
      <c r="AN44" s="3" t="s">
        <v>111</v>
      </c>
    </row>
    <row r="45" spans="1:133" x14ac:dyDescent="0.2">
      <c r="A45" s="2" t="s">
        <v>211</v>
      </c>
      <c r="B45" s="2" t="s">
        <v>236</v>
      </c>
      <c r="C45" s="2" t="s">
        <v>166</v>
      </c>
      <c r="D45" s="2" t="s">
        <v>109</v>
      </c>
      <c r="E45" s="2" t="s">
        <v>120</v>
      </c>
      <c r="F45" s="3">
        <v>11</v>
      </c>
      <c r="G45" s="2" t="s">
        <v>109</v>
      </c>
      <c r="H45" s="2" t="s">
        <v>109</v>
      </c>
      <c r="I45" s="2" t="s">
        <v>111</v>
      </c>
      <c r="J45" s="2" t="s">
        <v>109</v>
      </c>
      <c r="K45" s="2" t="s">
        <v>111</v>
      </c>
      <c r="L45" s="2" t="s">
        <v>109</v>
      </c>
      <c r="M45" s="2" t="s">
        <v>109</v>
      </c>
      <c r="N45" s="2" t="s">
        <v>111</v>
      </c>
      <c r="O45" s="2" t="s">
        <v>111</v>
      </c>
      <c r="P45" s="2" t="s">
        <v>109</v>
      </c>
      <c r="Q45" s="2" t="s">
        <v>111</v>
      </c>
      <c r="R45" s="2" t="s">
        <v>111</v>
      </c>
      <c r="S45" s="2" t="s">
        <v>109</v>
      </c>
      <c r="T45" s="2" t="s">
        <v>109</v>
      </c>
      <c r="U45" s="2" t="s">
        <v>111</v>
      </c>
      <c r="V45" s="2" t="s">
        <v>111</v>
      </c>
      <c r="W45" s="2" t="s">
        <v>111</v>
      </c>
      <c r="X45" s="2" t="s">
        <v>109</v>
      </c>
      <c r="Y45" s="2" t="s">
        <v>111</v>
      </c>
      <c r="Z45" s="2" t="s">
        <v>111</v>
      </c>
      <c r="AA45" s="2" t="s">
        <v>109</v>
      </c>
      <c r="AB45" s="2" t="s">
        <v>111</v>
      </c>
      <c r="AC45" s="2" t="s">
        <v>111</v>
      </c>
      <c r="AD45" s="2" t="s">
        <v>109</v>
      </c>
      <c r="AE45" s="2" t="s">
        <v>111</v>
      </c>
      <c r="AF45" s="2" t="s">
        <v>111</v>
      </c>
      <c r="AG45" s="2" t="s">
        <v>109</v>
      </c>
      <c r="AH45" s="3" t="s">
        <v>111</v>
      </c>
      <c r="AI45" s="2" t="s">
        <v>111</v>
      </c>
      <c r="AJ45" s="2" t="s">
        <v>109</v>
      </c>
      <c r="AK45" s="2">
        <v>75</v>
      </c>
      <c r="AL45" s="2">
        <v>20</v>
      </c>
      <c r="AM45" s="2">
        <v>25</v>
      </c>
      <c r="AN45" s="3" t="s">
        <v>109</v>
      </c>
      <c r="AO45" s="2">
        <v>70</v>
      </c>
      <c r="AP45" s="2">
        <v>18</v>
      </c>
      <c r="AQ45" s="2">
        <v>30</v>
      </c>
      <c r="AR45" s="2">
        <v>40</v>
      </c>
      <c r="AS45" s="2">
        <v>15</v>
      </c>
      <c r="AT45" s="2">
        <v>15</v>
      </c>
      <c r="AU45" s="2">
        <v>30</v>
      </c>
      <c r="AV45" s="2">
        <v>70</v>
      </c>
      <c r="AW45" s="2">
        <v>0</v>
      </c>
      <c r="AX45" s="2">
        <v>0</v>
      </c>
      <c r="AY45" s="2">
        <v>0</v>
      </c>
      <c r="AZ45" s="2">
        <v>10</v>
      </c>
      <c r="BA45" s="2">
        <v>90</v>
      </c>
      <c r="BB45" s="2">
        <v>100</v>
      </c>
      <c r="BP45" s="2">
        <v>30</v>
      </c>
      <c r="BU45" s="2">
        <v>9</v>
      </c>
      <c r="BV45" s="2">
        <v>1</v>
      </c>
      <c r="BW45" s="2">
        <v>7</v>
      </c>
      <c r="BX45" s="2">
        <v>7</v>
      </c>
      <c r="BY45" s="2">
        <v>10</v>
      </c>
      <c r="BZ45" s="2">
        <v>10</v>
      </c>
      <c r="CA45" s="2">
        <v>1</v>
      </c>
      <c r="CB45" s="2">
        <v>9</v>
      </c>
      <c r="CC45" s="2" t="s">
        <v>160</v>
      </c>
      <c r="CD45" s="3" t="s">
        <v>109</v>
      </c>
      <c r="CE45" s="2" t="s">
        <v>109</v>
      </c>
      <c r="CF45" s="2" t="s">
        <v>109</v>
      </c>
      <c r="CG45" s="2" t="s">
        <v>111</v>
      </c>
      <c r="CH45" s="2" t="s">
        <v>111</v>
      </c>
      <c r="CI45" s="3" t="s">
        <v>109</v>
      </c>
      <c r="CJ45" s="2" t="s">
        <v>109</v>
      </c>
      <c r="CK45" s="2" t="s">
        <v>109</v>
      </c>
      <c r="CL45" s="3" t="s">
        <v>111</v>
      </c>
      <c r="CM45" s="2">
        <v>89741</v>
      </c>
      <c r="CN45" s="2" t="s">
        <v>117</v>
      </c>
      <c r="CP45" s="2">
        <v>70000</v>
      </c>
      <c r="CQ45" s="2">
        <v>2016</v>
      </c>
      <c r="CR45" s="2">
        <v>2016</v>
      </c>
      <c r="CS45" s="2">
        <v>70</v>
      </c>
      <c r="CT45" s="2">
        <v>30</v>
      </c>
      <c r="CU45" s="2">
        <v>0</v>
      </c>
      <c r="CV45" s="2">
        <v>100</v>
      </c>
      <c r="CW45" s="2">
        <v>5</v>
      </c>
      <c r="CX45" s="2">
        <v>0</v>
      </c>
      <c r="CY45" s="2">
        <v>0</v>
      </c>
      <c r="CZ45" s="2">
        <v>10</v>
      </c>
      <c r="DA45" s="2">
        <v>75</v>
      </c>
      <c r="DB45" s="2">
        <v>0</v>
      </c>
      <c r="DC45" s="2">
        <v>0</v>
      </c>
      <c r="DD45" s="2">
        <v>10</v>
      </c>
      <c r="DE45" s="2">
        <v>0</v>
      </c>
      <c r="DG45" s="2">
        <v>10</v>
      </c>
      <c r="DH45" s="2">
        <v>50</v>
      </c>
      <c r="DI45" s="2">
        <v>0</v>
      </c>
      <c r="DJ45" s="2">
        <v>0</v>
      </c>
      <c r="DK45" s="2">
        <v>40</v>
      </c>
      <c r="DL45" s="2">
        <v>0</v>
      </c>
      <c r="DM45" s="2">
        <v>0</v>
      </c>
      <c r="DN45" s="2">
        <v>0</v>
      </c>
      <c r="DO45" s="2">
        <v>0</v>
      </c>
      <c r="DQ45" s="2">
        <v>2</v>
      </c>
      <c r="DR45" s="2">
        <v>0</v>
      </c>
      <c r="DS45" s="2">
        <v>2016</v>
      </c>
      <c r="DT45" s="2">
        <v>2016</v>
      </c>
      <c r="DU45" s="3" t="s">
        <v>109</v>
      </c>
      <c r="DV45" s="3" t="s">
        <v>111</v>
      </c>
      <c r="DW45" s="3" t="s">
        <v>111</v>
      </c>
      <c r="DX45" s="3" t="s">
        <v>111</v>
      </c>
      <c r="DY45" s="3" t="s">
        <v>111</v>
      </c>
      <c r="DZ45" s="3" t="s">
        <v>111</v>
      </c>
      <c r="EA45" s="3" t="s">
        <v>111</v>
      </c>
      <c r="EB45" s="3" t="s">
        <v>111</v>
      </c>
    </row>
    <row r="46" spans="1:133" x14ac:dyDescent="0.2">
      <c r="A46" s="2" t="s">
        <v>211</v>
      </c>
      <c r="B46" s="2" t="s">
        <v>236</v>
      </c>
      <c r="C46" s="2" t="s">
        <v>166</v>
      </c>
      <c r="D46" s="2" t="s">
        <v>109</v>
      </c>
      <c r="E46" s="2" t="s">
        <v>116</v>
      </c>
      <c r="F46" s="3">
        <v>48</v>
      </c>
      <c r="G46" s="2" t="s">
        <v>109</v>
      </c>
      <c r="H46" s="2" t="s">
        <v>109</v>
      </c>
      <c r="I46" s="2" t="s">
        <v>109</v>
      </c>
      <c r="J46" s="2" t="s">
        <v>109</v>
      </c>
      <c r="K46" s="2" t="s">
        <v>109</v>
      </c>
      <c r="L46" s="2" t="s">
        <v>109</v>
      </c>
      <c r="M46" s="2" t="s">
        <v>109</v>
      </c>
      <c r="N46" s="2" t="s">
        <v>109</v>
      </c>
      <c r="O46" s="2" t="s">
        <v>111</v>
      </c>
      <c r="P46" s="2" t="s">
        <v>109</v>
      </c>
      <c r="Q46" s="2" t="s">
        <v>109</v>
      </c>
      <c r="R46" s="2" t="s">
        <v>111</v>
      </c>
      <c r="S46" s="2" t="s">
        <v>109</v>
      </c>
      <c r="T46" s="2" t="s">
        <v>109</v>
      </c>
      <c r="U46" s="2" t="s">
        <v>111</v>
      </c>
      <c r="V46" s="2" t="s">
        <v>111</v>
      </c>
      <c r="W46" s="2" t="s">
        <v>111</v>
      </c>
      <c r="X46" s="2" t="s">
        <v>109</v>
      </c>
      <c r="Y46" s="2" t="s">
        <v>111</v>
      </c>
      <c r="Z46" s="2" t="s">
        <v>111</v>
      </c>
      <c r="AA46" s="2" t="s">
        <v>109</v>
      </c>
      <c r="AB46" s="2" t="s">
        <v>111</v>
      </c>
      <c r="AC46" s="2" t="s">
        <v>111</v>
      </c>
      <c r="AD46" s="2" t="s">
        <v>109</v>
      </c>
      <c r="AE46" s="2" t="s">
        <v>109</v>
      </c>
      <c r="AF46" s="2" t="s">
        <v>109</v>
      </c>
      <c r="AG46" s="2" t="s">
        <v>111</v>
      </c>
      <c r="AH46" s="3" t="s">
        <v>109</v>
      </c>
      <c r="AI46" s="2" t="s">
        <v>109</v>
      </c>
      <c r="AJ46" s="2" t="s">
        <v>111</v>
      </c>
      <c r="AK46" s="2">
        <v>90</v>
      </c>
      <c r="AL46" s="2">
        <v>15</v>
      </c>
      <c r="AM46" s="2">
        <v>85</v>
      </c>
      <c r="AN46" s="3" t="s">
        <v>109</v>
      </c>
      <c r="AO46" s="2">
        <v>80</v>
      </c>
      <c r="AP46" s="2">
        <v>15</v>
      </c>
      <c r="AQ46" s="2">
        <v>0</v>
      </c>
      <c r="AR46" s="2">
        <v>0</v>
      </c>
      <c r="AS46" s="2">
        <v>0</v>
      </c>
      <c r="AT46" s="2">
        <v>100</v>
      </c>
      <c r="AU46" s="2">
        <v>0</v>
      </c>
      <c r="AV46" s="2">
        <v>0</v>
      </c>
      <c r="AW46" s="2">
        <v>0</v>
      </c>
      <c r="AX46" s="2">
        <v>100</v>
      </c>
      <c r="AY46" s="2">
        <v>95</v>
      </c>
      <c r="AZ46" s="2">
        <v>80</v>
      </c>
      <c r="BA46" s="2">
        <v>70</v>
      </c>
      <c r="BB46" s="2">
        <v>80</v>
      </c>
      <c r="BC46" s="2">
        <v>98</v>
      </c>
      <c r="BD46" s="2">
        <v>70</v>
      </c>
      <c r="BE46" s="2">
        <v>90</v>
      </c>
      <c r="BG46" s="2">
        <v>30</v>
      </c>
      <c r="BH46" s="2">
        <v>25</v>
      </c>
      <c r="BI46" s="2">
        <v>40</v>
      </c>
      <c r="BK46" s="2">
        <v>20</v>
      </c>
      <c r="BP46" s="2">
        <v>10</v>
      </c>
      <c r="BQ46" s="2">
        <v>20</v>
      </c>
      <c r="BU46" s="2">
        <v>10</v>
      </c>
      <c r="BV46" s="2">
        <v>10</v>
      </c>
      <c r="BW46" s="2">
        <v>10</v>
      </c>
      <c r="BX46" s="2">
        <v>5</v>
      </c>
      <c r="BY46" s="2">
        <v>10</v>
      </c>
      <c r="BZ46" s="2">
        <v>1</v>
      </c>
      <c r="CA46" s="2">
        <v>5</v>
      </c>
      <c r="CC46" s="2" t="s">
        <v>157</v>
      </c>
      <c r="CD46" s="3" t="s">
        <v>109</v>
      </c>
      <c r="CE46" s="2" t="s">
        <v>109</v>
      </c>
      <c r="CF46" s="2" t="s">
        <v>109</v>
      </c>
      <c r="CG46" s="2" t="s">
        <v>111</v>
      </c>
      <c r="CH46" s="2" t="s">
        <v>111</v>
      </c>
      <c r="CI46" s="3" t="s">
        <v>109</v>
      </c>
      <c r="CJ46" s="2" t="s">
        <v>109</v>
      </c>
      <c r="CK46" s="2" t="s">
        <v>109</v>
      </c>
      <c r="CL46" s="3" t="s">
        <v>111</v>
      </c>
      <c r="CM46" s="2">
        <v>4586181</v>
      </c>
      <c r="CN46" s="2" t="s">
        <v>115</v>
      </c>
      <c r="CO46" s="3">
        <v>500000</v>
      </c>
      <c r="CP46" s="2">
        <v>100000</v>
      </c>
      <c r="CQ46" s="2">
        <v>2017</v>
      </c>
      <c r="CR46" s="2">
        <v>2017</v>
      </c>
      <c r="CS46" s="2">
        <v>15</v>
      </c>
      <c r="CT46" s="2">
        <v>85</v>
      </c>
      <c r="CU46" s="2">
        <v>85</v>
      </c>
      <c r="CV46" s="2">
        <v>15</v>
      </c>
      <c r="CW46" s="2">
        <v>0</v>
      </c>
      <c r="CX46" s="2">
        <v>0</v>
      </c>
      <c r="CY46" s="2">
        <v>0</v>
      </c>
      <c r="CZ46" s="2">
        <v>0</v>
      </c>
      <c r="DA46" s="2">
        <v>0</v>
      </c>
      <c r="DB46" s="2">
        <v>0</v>
      </c>
      <c r="DC46" s="2">
        <v>0</v>
      </c>
      <c r="DD46" s="2">
        <v>0</v>
      </c>
      <c r="DE46" s="2">
        <v>100</v>
      </c>
      <c r="DF46" s="2" t="s">
        <v>158</v>
      </c>
      <c r="DG46" s="2">
        <v>50</v>
      </c>
      <c r="DH46" s="2">
        <v>5</v>
      </c>
      <c r="DI46" s="2">
        <v>3</v>
      </c>
      <c r="DJ46" s="2">
        <v>8</v>
      </c>
      <c r="DK46" s="2">
        <v>4</v>
      </c>
      <c r="DL46" s="2">
        <v>10</v>
      </c>
      <c r="DM46" s="2">
        <v>10</v>
      </c>
      <c r="DN46" s="2">
        <v>10</v>
      </c>
      <c r="DO46" s="2">
        <v>0</v>
      </c>
      <c r="DP46" s="2">
        <v>20</v>
      </c>
      <c r="DQ46" s="2">
        <v>16</v>
      </c>
      <c r="DR46" s="2">
        <v>60</v>
      </c>
      <c r="DS46" s="2">
        <v>2017</v>
      </c>
      <c r="DT46" s="2">
        <v>2017</v>
      </c>
      <c r="DU46" s="3" t="s">
        <v>109</v>
      </c>
      <c r="DV46" s="3" t="s">
        <v>111</v>
      </c>
      <c r="DW46" s="3" t="s">
        <v>109</v>
      </c>
      <c r="DX46" s="3" t="s">
        <v>109</v>
      </c>
      <c r="DY46" s="3" t="s">
        <v>109</v>
      </c>
      <c r="DZ46" s="3" t="s">
        <v>111</v>
      </c>
      <c r="EA46" s="3" t="s">
        <v>111</v>
      </c>
      <c r="EB46" s="3" t="s">
        <v>111</v>
      </c>
      <c r="EC46" s="3" t="s">
        <v>159</v>
      </c>
    </row>
    <row r="47" spans="1:133" x14ac:dyDescent="0.2">
      <c r="A47" s="2" t="s">
        <v>216</v>
      </c>
      <c r="B47" s="2" t="s">
        <v>238</v>
      </c>
      <c r="C47" s="2" t="s">
        <v>166</v>
      </c>
      <c r="D47" s="2" t="s">
        <v>109</v>
      </c>
      <c r="F47" s="3">
        <v>1.5</v>
      </c>
      <c r="G47" s="2" t="s">
        <v>109</v>
      </c>
      <c r="H47" s="2" t="s">
        <v>109</v>
      </c>
      <c r="I47" s="2" t="s">
        <v>111</v>
      </c>
      <c r="J47" s="2" t="s">
        <v>109</v>
      </c>
      <c r="K47" s="2" t="s">
        <v>109</v>
      </c>
      <c r="L47" s="2" t="s">
        <v>111</v>
      </c>
      <c r="M47" s="2" t="s">
        <v>109</v>
      </c>
      <c r="N47" s="2" t="s">
        <v>111</v>
      </c>
      <c r="O47" s="2" t="s">
        <v>111</v>
      </c>
      <c r="P47" s="2" t="s">
        <v>109</v>
      </c>
      <c r="Q47" s="2" t="s">
        <v>111</v>
      </c>
      <c r="R47" s="2" t="s">
        <v>111</v>
      </c>
      <c r="S47" s="2" t="s">
        <v>109</v>
      </c>
      <c r="T47" s="2" t="s">
        <v>111</v>
      </c>
      <c r="U47" s="2" t="s">
        <v>111</v>
      </c>
      <c r="V47" s="2" t="s">
        <v>109</v>
      </c>
      <c r="W47" s="2" t="s">
        <v>111</v>
      </c>
      <c r="X47" s="2" t="s">
        <v>111</v>
      </c>
      <c r="Y47" s="2" t="s">
        <v>111</v>
      </c>
      <c r="Z47" s="2" t="s">
        <v>111</v>
      </c>
      <c r="AA47" s="2" t="s">
        <v>109</v>
      </c>
      <c r="AB47" s="2" t="s">
        <v>109</v>
      </c>
      <c r="AC47" s="2" t="s">
        <v>111</v>
      </c>
      <c r="AD47" s="2" t="s">
        <v>111</v>
      </c>
      <c r="AE47" s="2" t="s">
        <v>111</v>
      </c>
      <c r="AF47" s="2" t="s">
        <v>111</v>
      </c>
      <c r="AG47" s="2" t="s">
        <v>109</v>
      </c>
      <c r="AH47" s="3" t="s">
        <v>111</v>
      </c>
      <c r="AI47" s="2" t="s">
        <v>111</v>
      </c>
      <c r="AJ47" s="2" t="s">
        <v>109</v>
      </c>
      <c r="AK47" s="2">
        <v>70</v>
      </c>
      <c r="AL47" s="2">
        <v>5</v>
      </c>
      <c r="AM47" s="2">
        <v>95</v>
      </c>
      <c r="AN47" s="3" t="s">
        <v>109</v>
      </c>
    </row>
    <row r="48" spans="1:133" x14ac:dyDescent="0.2">
      <c r="A48" s="8" t="s">
        <v>224</v>
      </c>
      <c r="B48" s="2" t="s">
        <v>238</v>
      </c>
      <c r="C48" s="2" t="s">
        <v>166</v>
      </c>
      <c r="D48" s="2" t="s">
        <v>109</v>
      </c>
      <c r="G48" s="2" t="s">
        <v>111</v>
      </c>
      <c r="L48" s="2" t="s">
        <v>111</v>
      </c>
      <c r="M48" s="2" t="s">
        <v>109</v>
      </c>
      <c r="N48" s="2" t="s">
        <v>109</v>
      </c>
      <c r="O48" s="2" t="s">
        <v>111</v>
      </c>
      <c r="P48" s="2" t="s">
        <v>109</v>
      </c>
      <c r="Q48" s="2" t="s">
        <v>109</v>
      </c>
      <c r="R48" s="2" t="s">
        <v>111</v>
      </c>
      <c r="S48" s="2" t="s">
        <v>111</v>
      </c>
      <c r="T48" s="2" t="s">
        <v>111</v>
      </c>
      <c r="U48" s="2" t="s">
        <v>109</v>
      </c>
      <c r="V48" s="2" t="s">
        <v>109</v>
      </c>
      <c r="W48" s="2" t="s">
        <v>109</v>
      </c>
      <c r="X48" s="2" t="s">
        <v>111</v>
      </c>
      <c r="Y48" s="2" t="s">
        <v>111</v>
      </c>
      <c r="Z48" s="2" t="s">
        <v>111</v>
      </c>
      <c r="AA48" s="2" t="s">
        <v>109</v>
      </c>
      <c r="AB48" s="2" t="s">
        <v>109</v>
      </c>
      <c r="AC48" s="2" t="s">
        <v>109</v>
      </c>
      <c r="AD48" s="2" t="s">
        <v>111</v>
      </c>
      <c r="AE48" s="2" t="s">
        <v>109</v>
      </c>
      <c r="AF48" s="2" t="s">
        <v>109</v>
      </c>
      <c r="AG48" s="2" t="s">
        <v>111</v>
      </c>
      <c r="AH48" s="3" t="s">
        <v>111</v>
      </c>
      <c r="AI48" s="2" t="s">
        <v>111</v>
      </c>
      <c r="AJ48" s="2" t="s">
        <v>109</v>
      </c>
      <c r="AK48" s="2">
        <v>82</v>
      </c>
      <c r="AL48" s="2">
        <v>36</v>
      </c>
      <c r="AM48" s="2">
        <v>72</v>
      </c>
      <c r="AN48" s="3" t="s">
        <v>109</v>
      </c>
      <c r="AO48" s="2">
        <v>4</v>
      </c>
      <c r="AP48" s="2">
        <v>5</v>
      </c>
      <c r="AQ48" s="2">
        <v>25</v>
      </c>
      <c r="AR48" s="2">
        <v>25</v>
      </c>
      <c r="AS48" s="2">
        <v>25</v>
      </c>
      <c r="AT48" s="2">
        <v>25</v>
      </c>
      <c r="AU48" s="2">
        <v>25</v>
      </c>
      <c r="AV48" s="2">
        <v>25</v>
      </c>
      <c r="AW48" s="2">
        <v>25</v>
      </c>
      <c r="AX48" s="2">
        <v>25</v>
      </c>
      <c r="AY48" s="2">
        <v>100</v>
      </c>
      <c r="AZ48" s="2">
        <v>100</v>
      </c>
      <c r="BA48" s="2">
        <v>2</v>
      </c>
      <c r="BB48" s="2">
        <v>2</v>
      </c>
      <c r="BC48" s="2">
        <v>4</v>
      </c>
      <c r="BD48" s="2">
        <v>1</v>
      </c>
      <c r="BU48" s="2">
        <v>6</v>
      </c>
      <c r="BV48" s="2">
        <v>6</v>
      </c>
      <c r="BW48" s="2">
        <v>8</v>
      </c>
      <c r="BX48" s="2">
        <v>4</v>
      </c>
      <c r="BY48" s="2">
        <v>7</v>
      </c>
      <c r="BZ48" s="2">
        <v>8</v>
      </c>
      <c r="CA48" s="2">
        <v>4</v>
      </c>
      <c r="CB48" s="2">
        <v>5</v>
      </c>
      <c r="CD48" s="3" t="s">
        <v>119</v>
      </c>
      <c r="CN48" s="2" t="s">
        <v>119</v>
      </c>
      <c r="DQ48" s="2">
        <v>3</v>
      </c>
      <c r="DR48" s="2">
        <v>1</v>
      </c>
    </row>
    <row r="49" spans="1:133" x14ac:dyDescent="0.2">
      <c r="A49" s="2" t="s">
        <v>211</v>
      </c>
      <c r="B49" s="2" t="s">
        <v>236</v>
      </c>
      <c r="C49" s="2" t="s">
        <v>166</v>
      </c>
      <c r="D49" s="2" t="s">
        <v>109</v>
      </c>
      <c r="E49" s="2" t="s">
        <v>112</v>
      </c>
      <c r="F49" s="3">
        <v>1.9</v>
      </c>
      <c r="G49" s="2" t="s">
        <v>111</v>
      </c>
      <c r="L49" s="2" t="s">
        <v>109</v>
      </c>
      <c r="M49" s="2" t="s">
        <v>109</v>
      </c>
      <c r="N49" s="2" t="s">
        <v>109</v>
      </c>
      <c r="O49" s="2" t="s">
        <v>111</v>
      </c>
      <c r="P49" s="2" t="s">
        <v>109</v>
      </c>
      <c r="Q49" s="2" t="s">
        <v>111</v>
      </c>
      <c r="R49" s="2" t="s">
        <v>111</v>
      </c>
      <c r="S49" s="2" t="s">
        <v>109</v>
      </c>
      <c r="T49" s="2" t="s">
        <v>109</v>
      </c>
      <c r="U49" s="2" t="s">
        <v>111</v>
      </c>
      <c r="V49" s="2" t="s">
        <v>109</v>
      </c>
      <c r="W49" s="2" t="s">
        <v>111</v>
      </c>
      <c r="X49" s="2" t="s">
        <v>111</v>
      </c>
      <c r="Y49" s="2" t="s">
        <v>111</v>
      </c>
      <c r="Z49" s="2" t="s">
        <v>111</v>
      </c>
      <c r="AA49" s="2" t="s">
        <v>109</v>
      </c>
      <c r="AB49" s="2" t="s">
        <v>111</v>
      </c>
      <c r="AC49" s="2" t="s">
        <v>111</v>
      </c>
      <c r="AD49" s="2" t="s">
        <v>109</v>
      </c>
      <c r="AE49" s="2" t="s">
        <v>109</v>
      </c>
      <c r="AF49" s="2" t="s">
        <v>109</v>
      </c>
      <c r="AG49" s="2" t="s">
        <v>111</v>
      </c>
      <c r="AH49" s="3" t="s">
        <v>111</v>
      </c>
      <c r="AI49" s="2" t="s">
        <v>109</v>
      </c>
      <c r="AJ49" s="2" t="s">
        <v>111</v>
      </c>
      <c r="AK49" s="2">
        <v>42</v>
      </c>
      <c r="AL49" s="2">
        <v>8</v>
      </c>
      <c r="AM49" s="2">
        <v>27</v>
      </c>
      <c r="AN49" s="3" t="s">
        <v>109</v>
      </c>
      <c r="AO49" s="2">
        <v>0</v>
      </c>
      <c r="AP49" s="2">
        <v>0</v>
      </c>
      <c r="AQ49" s="2">
        <v>2</v>
      </c>
      <c r="AR49" s="2">
        <v>25</v>
      </c>
      <c r="AS49" s="2">
        <v>40</v>
      </c>
      <c r="AT49" s="2">
        <v>33</v>
      </c>
      <c r="AY49" s="2">
        <v>10</v>
      </c>
      <c r="AZ49" s="2">
        <v>90</v>
      </c>
      <c r="BU49" s="2">
        <v>7</v>
      </c>
      <c r="BV49" s="2">
        <v>4</v>
      </c>
      <c r="BW49" s="2">
        <v>2</v>
      </c>
      <c r="BX49" s="2">
        <v>8</v>
      </c>
      <c r="BZ49" s="2">
        <v>8</v>
      </c>
      <c r="CA49" s="2">
        <v>1</v>
      </c>
      <c r="CC49" s="2" t="s">
        <v>156</v>
      </c>
      <c r="CD49" s="3" t="s">
        <v>111</v>
      </c>
      <c r="CN49" s="2" t="s">
        <v>117</v>
      </c>
      <c r="CO49" s="3">
        <v>5000</v>
      </c>
      <c r="CP49" s="2">
        <v>35000</v>
      </c>
      <c r="CQ49" s="2">
        <v>2016</v>
      </c>
      <c r="CR49" s="2">
        <v>2016</v>
      </c>
      <c r="DQ49" s="2">
        <v>0.3</v>
      </c>
      <c r="DR49" s="2">
        <v>0.5</v>
      </c>
      <c r="DS49" s="2">
        <v>2016</v>
      </c>
      <c r="DT49" s="2">
        <v>2016</v>
      </c>
      <c r="DU49" s="3" t="s">
        <v>109</v>
      </c>
      <c r="DV49" s="3" t="s">
        <v>111</v>
      </c>
      <c r="DW49" s="3" t="s">
        <v>111</v>
      </c>
      <c r="DX49" s="3" t="s">
        <v>111</v>
      </c>
      <c r="DY49" s="3" t="s">
        <v>111</v>
      </c>
      <c r="DZ49" s="3" t="s">
        <v>111</v>
      </c>
      <c r="EA49" s="3" t="s">
        <v>111</v>
      </c>
      <c r="EB49" s="3" t="s">
        <v>111</v>
      </c>
    </row>
    <row r="50" spans="1:133" s="3" customFormat="1" x14ac:dyDescent="0.2">
      <c r="A50" s="3" t="s">
        <v>216</v>
      </c>
      <c r="B50" s="3" t="s">
        <v>238</v>
      </c>
      <c r="C50" s="3" t="s">
        <v>166</v>
      </c>
      <c r="D50" s="3" t="s">
        <v>109</v>
      </c>
      <c r="E50" s="3" t="s">
        <v>116</v>
      </c>
      <c r="F50" s="3">
        <v>36</v>
      </c>
      <c r="G50" s="3" t="s">
        <v>119</v>
      </c>
      <c r="L50" s="3" t="s">
        <v>109</v>
      </c>
      <c r="M50" s="3" t="s">
        <v>109</v>
      </c>
      <c r="N50" s="3" t="s">
        <v>111</v>
      </c>
      <c r="O50" s="3" t="s">
        <v>111</v>
      </c>
      <c r="P50" s="3" t="s">
        <v>109</v>
      </c>
      <c r="Q50" s="3" t="s">
        <v>109</v>
      </c>
      <c r="R50" s="3" t="s">
        <v>111</v>
      </c>
      <c r="S50" s="3" t="s">
        <v>109</v>
      </c>
      <c r="T50" s="3" t="s">
        <v>111</v>
      </c>
      <c r="U50" s="3" t="s">
        <v>111</v>
      </c>
      <c r="V50" s="3" t="s">
        <v>109</v>
      </c>
      <c r="W50" s="3" t="s">
        <v>109</v>
      </c>
      <c r="X50" s="3" t="s">
        <v>111</v>
      </c>
      <c r="Y50" s="3" t="s">
        <v>111</v>
      </c>
      <c r="Z50" s="3" t="s">
        <v>111</v>
      </c>
      <c r="AA50" s="3" t="s">
        <v>109</v>
      </c>
      <c r="AB50" s="3" t="s">
        <v>111</v>
      </c>
      <c r="AC50" s="3" t="s">
        <v>111</v>
      </c>
      <c r="AD50" s="3" t="s">
        <v>109</v>
      </c>
      <c r="AE50" s="3" t="s">
        <v>109</v>
      </c>
      <c r="AF50" s="3" t="s">
        <v>109</v>
      </c>
      <c r="AG50" s="3" t="s">
        <v>111</v>
      </c>
      <c r="AH50" s="3" t="s">
        <v>111</v>
      </c>
      <c r="AI50" s="3" t="s">
        <v>111</v>
      </c>
      <c r="AJ50" s="3" t="s">
        <v>109</v>
      </c>
      <c r="AK50" s="3">
        <v>80</v>
      </c>
      <c r="AL50" s="3">
        <v>18</v>
      </c>
      <c r="AM50" s="3">
        <v>82</v>
      </c>
      <c r="AN50" s="3" t="s">
        <v>109</v>
      </c>
      <c r="AO50" s="3">
        <v>2</v>
      </c>
      <c r="AP50" s="3">
        <v>0</v>
      </c>
      <c r="AQ50" s="3">
        <v>48</v>
      </c>
      <c r="AR50" s="3">
        <v>40</v>
      </c>
      <c r="AS50" s="3">
        <v>10</v>
      </c>
      <c r="AT50" s="3">
        <v>2</v>
      </c>
      <c r="AU50" s="3">
        <v>48</v>
      </c>
      <c r="AV50" s="3">
        <v>40</v>
      </c>
      <c r="AW50" s="3">
        <v>10</v>
      </c>
      <c r="AX50" s="3">
        <v>2</v>
      </c>
      <c r="AY50" s="3">
        <v>100</v>
      </c>
      <c r="AZ50" s="3">
        <v>0</v>
      </c>
      <c r="BA50" s="3">
        <v>2</v>
      </c>
      <c r="BC50" s="3">
        <v>75</v>
      </c>
      <c r="BE50" s="3">
        <v>10</v>
      </c>
      <c r="BG50" s="3">
        <v>10</v>
      </c>
      <c r="BR50" s="3">
        <v>2</v>
      </c>
      <c r="BT50" s="3" t="s">
        <v>154</v>
      </c>
      <c r="BU50" s="3">
        <v>8</v>
      </c>
      <c r="BV50" s="3">
        <v>3</v>
      </c>
      <c r="BW50" s="3">
        <v>7</v>
      </c>
      <c r="BX50" s="3">
        <v>3</v>
      </c>
      <c r="BY50" s="3">
        <v>8</v>
      </c>
      <c r="BZ50" s="3">
        <v>6</v>
      </c>
      <c r="CA50" s="3">
        <v>5</v>
      </c>
      <c r="CB50" s="3">
        <v>9</v>
      </c>
      <c r="CC50" s="3" t="s">
        <v>155</v>
      </c>
      <c r="CD50" s="3" t="s">
        <v>111</v>
      </c>
      <c r="CN50" s="3" t="s">
        <v>113</v>
      </c>
      <c r="CO50" s="3">
        <v>10000</v>
      </c>
      <c r="CQ50" s="3">
        <v>2016</v>
      </c>
      <c r="CS50" s="3">
        <v>15</v>
      </c>
      <c r="CT50" s="3">
        <v>85</v>
      </c>
      <c r="CU50" s="3">
        <v>15</v>
      </c>
      <c r="CV50" s="3">
        <v>85</v>
      </c>
      <c r="CW50" s="3">
        <v>15</v>
      </c>
      <c r="CX50" s="3">
        <v>0</v>
      </c>
      <c r="CY50" s="3">
        <v>0</v>
      </c>
      <c r="CZ50" s="3">
        <v>0</v>
      </c>
      <c r="DA50" s="3">
        <v>85</v>
      </c>
      <c r="DB50" s="3">
        <v>0</v>
      </c>
      <c r="DC50" s="3">
        <v>0</v>
      </c>
      <c r="DD50" s="3">
        <v>0</v>
      </c>
      <c r="DE50" s="3">
        <v>0</v>
      </c>
      <c r="DG50" s="3">
        <v>15</v>
      </c>
      <c r="DH50" s="3">
        <v>0</v>
      </c>
      <c r="DI50" s="3">
        <v>85</v>
      </c>
      <c r="DJ50" s="3">
        <v>0</v>
      </c>
      <c r="DK50" s="3">
        <v>0</v>
      </c>
      <c r="DL50" s="3">
        <v>0</v>
      </c>
      <c r="DM50" s="3">
        <v>0</v>
      </c>
      <c r="DN50" s="3">
        <v>0</v>
      </c>
      <c r="DO50" s="3">
        <v>0</v>
      </c>
      <c r="DQ50" s="3">
        <v>2</v>
      </c>
      <c r="DS50" s="3">
        <v>2016</v>
      </c>
      <c r="DU50" s="3" t="s">
        <v>109</v>
      </c>
      <c r="DV50" s="3" t="s">
        <v>111</v>
      </c>
      <c r="DW50" s="3" t="s">
        <v>111</v>
      </c>
      <c r="DX50" s="3" t="s">
        <v>111</v>
      </c>
      <c r="DY50" s="3" t="s">
        <v>111</v>
      </c>
      <c r="DZ50" s="3" t="s">
        <v>111</v>
      </c>
      <c r="EA50" s="3" t="s">
        <v>111</v>
      </c>
      <c r="EB50" s="3" t="s">
        <v>111</v>
      </c>
    </row>
    <row r="51" spans="1:133" x14ac:dyDescent="0.2">
      <c r="A51" s="8" t="s">
        <v>224</v>
      </c>
      <c r="B51" s="2" t="s">
        <v>238</v>
      </c>
      <c r="C51" s="2" t="s">
        <v>166</v>
      </c>
      <c r="D51" s="2" t="s">
        <v>109</v>
      </c>
      <c r="E51" s="2" t="s">
        <v>120</v>
      </c>
      <c r="F51" s="3">
        <v>4.7</v>
      </c>
      <c r="G51" s="2" t="s">
        <v>111</v>
      </c>
      <c r="L51" s="2" t="s">
        <v>111</v>
      </c>
      <c r="M51" s="2" t="s">
        <v>109</v>
      </c>
      <c r="N51" s="2" t="s">
        <v>111</v>
      </c>
      <c r="O51" s="2" t="s">
        <v>111</v>
      </c>
      <c r="P51" s="2" t="s">
        <v>109</v>
      </c>
      <c r="Q51" s="2" t="s">
        <v>111</v>
      </c>
      <c r="R51" s="2" t="s">
        <v>111</v>
      </c>
      <c r="S51" s="2" t="s">
        <v>109</v>
      </c>
      <c r="T51" s="2" t="s">
        <v>111</v>
      </c>
      <c r="U51" s="2" t="s">
        <v>111</v>
      </c>
      <c r="V51" s="2" t="s">
        <v>111</v>
      </c>
      <c r="W51" s="2" t="s">
        <v>111</v>
      </c>
      <c r="X51" s="2" t="s">
        <v>109</v>
      </c>
      <c r="AB51" s="2" t="s">
        <v>109</v>
      </c>
      <c r="AC51" s="2" t="s">
        <v>111</v>
      </c>
      <c r="AD51" s="2" t="s">
        <v>111</v>
      </c>
      <c r="AE51" s="2" t="s">
        <v>111</v>
      </c>
      <c r="AF51" s="2" t="s">
        <v>111</v>
      </c>
      <c r="AG51" s="2" t="s">
        <v>109</v>
      </c>
      <c r="AH51" s="3" t="s">
        <v>111</v>
      </c>
      <c r="AI51" s="2" t="s">
        <v>111</v>
      </c>
      <c r="AJ51" s="2" t="s">
        <v>109</v>
      </c>
      <c r="AK51" s="2">
        <v>82</v>
      </c>
      <c r="AL51" s="2">
        <v>56</v>
      </c>
      <c r="AM51" s="2">
        <v>44</v>
      </c>
      <c r="AN51" s="3" t="s">
        <v>109</v>
      </c>
      <c r="AO51" s="2">
        <v>0</v>
      </c>
      <c r="AP51" s="2">
        <v>0</v>
      </c>
      <c r="AQ51" s="2">
        <v>30</v>
      </c>
      <c r="AR51" s="2">
        <v>20</v>
      </c>
      <c r="AS51" s="2">
        <v>40</v>
      </c>
      <c r="AT51" s="2">
        <v>10</v>
      </c>
      <c r="AU51" s="2">
        <v>30</v>
      </c>
      <c r="AV51" s="2">
        <v>20</v>
      </c>
      <c r="AW51" s="2">
        <v>40</v>
      </c>
      <c r="AX51" s="2">
        <v>10</v>
      </c>
      <c r="AY51" s="2">
        <v>100</v>
      </c>
      <c r="BU51" s="2">
        <v>5</v>
      </c>
      <c r="BV51" s="2">
        <v>7</v>
      </c>
      <c r="BW51" s="2">
        <v>4</v>
      </c>
      <c r="BX51" s="2">
        <v>2</v>
      </c>
      <c r="BY51" s="2">
        <v>3</v>
      </c>
      <c r="BZ51" s="2">
        <v>10</v>
      </c>
      <c r="CA51" s="2">
        <v>2</v>
      </c>
      <c r="CB51" s="2">
        <v>2</v>
      </c>
      <c r="CD51" s="3" t="s">
        <v>111</v>
      </c>
      <c r="CN51" s="2" t="s">
        <v>117</v>
      </c>
      <c r="CO51" s="3">
        <v>0</v>
      </c>
      <c r="CP51" s="2">
        <v>0</v>
      </c>
      <c r="CQ51" s="2">
        <v>2016</v>
      </c>
      <c r="CR51" s="2">
        <v>2016</v>
      </c>
      <c r="CS51" s="2">
        <v>50</v>
      </c>
      <c r="CT51" s="2">
        <v>50</v>
      </c>
      <c r="CU51" s="2">
        <v>50</v>
      </c>
      <c r="CV51" s="2">
        <v>50</v>
      </c>
      <c r="DG51" s="2">
        <v>0</v>
      </c>
      <c r="DH51" s="2">
        <v>0</v>
      </c>
      <c r="DI51" s="2">
        <v>0</v>
      </c>
      <c r="DJ51" s="2">
        <v>0</v>
      </c>
      <c r="DK51" s="2">
        <v>0</v>
      </c>
      <c r="DL51" s="2">
        <v>0</v>
      </c>
      <c r="DM51" s="2">
        <v>0</v>
      </c>
      <c r="DN51" s="2">
        <v>0</v>
      </c>
      <c r="DO51" s="2">
        <v>100</v>
      </c>
      <c r="DQ51" s="2">
        <v>0</v>
      </c>
      <c r="DR51" s="2">
        <v>1</v>
      </c>
      <c r="DS51" s="2">
        <v>2016</v>
      </c>
      <c r="DT51" s="2">
        <v>2016</v>
      </c>
      <c r="EC51" s="3" t="s">
        <v>153</v>
      </c>
    </row>
    <row r="52" spans="1:133" x14ac:dyDescent="0.2">
      <c r="A52" s="2" t="s">
        <v>216</v>
      </c>
      <c r="B52" s="2" t="s">
        <v>238</v>
      </c>
      <c r="C52" s="2" t="s">
        <v>166</v>
      </c>
      <c r="D52" s="2" t="s">
        <v>109</v>
      </c>
      <c r="E52" s="2" t="s">
        <v>112</v>
      </c>
      <c r="F52" s="3">
        <v>2.6</v>
      </c>
      <c r="G52" s="2" t="s">
        <v>119</v>
      </c>
      <c r="L52" s="2" t="s">
        <v>111</v>
      </c>
      <c r="M52" s="2" t="s">
        <v>111</v>
      </c>
      <c r="N52" s="2" t="s">
        <v>111</v>
      </c>
      <c r="O52" s="2" t="s">
        <v>109</v>
      </c>
      <c r="P52" s="2" t="s">
        <v>109</v>
      </c>
      <c r="Q52" s="2" t="s">
        <v>109</v>
      </c>
      <c r="R52" s="2" t="s">
        <v>111</v>
      </c>
      <c r="S52" s="2" t="s">
        <v>109</v>
      </c>
      <c r="T52" s="2" t="s">
        <v>111</v>
      </c>
      <c r="U52" s="2" t="s">
        <v>111</v>
      </c>
      <c r="V52" s="2" t="s">
        <v>111</v>
      </c>
      <c r="W52" s="2" t="s">
        <v>111</v>
      </c>
      <c r="X52" s="2" t="s">
        <v>109</v>
      </c>
      <c r="Y52" s="2" t="s">
        <v>111</v>
      </c>
      <c r="Z52" s="2" t="s">
        <v>111</v>
      </c>
      <c r="AA52" s="2" t="s">
        <v>109</v>
      </c>
      <c r="AB52" s="2" t="s">
        <v>111</v>
      </c>
      <c r="AC52" s="2" t="s">
        <v>111</v>
      </c>
      <c r="AD52" s="2" t="s">
        <v>109</v>
      </c>
      <c r="AE52" s="2" t="s">
        <v>111</v>
      </c>
      <c r="AF52" s="2" t="s">
        <v>111</v>
      </c>
      <c r="AG52" s="2" t="s">
        <v>109</v>
      </c>
      <c r="AH52" s="3" t="s">
        <v>111</v>
      </c>
      <c r="AI52" s="2" t="s">
        <v>111</v>
      </c>
      <c r="AJ52" s="2" t="s">
        <v>109</v>
      </c>
      <c r="AK52" s="2">
        <v>45</v>
      </c>
      <c r="AL52" s="2">
        <v>40</v>
      </c>
      <c r="AM52" s="2">
        <v>55</v>
      </c>
      <c r="AN52" s="3" t="s">
        <v>111</v>
      </c>
    </row>
    <row r="53" spans="1:133" x14ac:dyDescent="0.2">
      <c r="A53" s="2" t="s">
        <v>231</v>
      </c>
      <c r="B53" s="2" t="s">
        <v>238</v>
      </c>
      <c r="C53" s="2" t="s">
        <v>166</v>
      </c>
      <c r="D53" s="2" t="s">
        <v>109</v>
      </c>
      <c r="E53" s="2" t="s">
        <v>122</v>
      </c>
      <c r="F53" s="3">
        <v>0</v>
      </c>
      <c r="G53" s="2" t="s">
        <v>109</v>
      </c>
      <c r="H53" s="2" t="s">
        <v>111</v>
      </c>
      <c r="I53" s="2" t="s">
        <v>109</v>
      </c>
      <c r="J53" s="2" t="s">
        <v>109</v>
      </c>
      <c r="K53" s="2" t="s">
        <v>111</v>
      </c>
      <c r="L53" s="2" t="s">
        <v>109</v>
      </c>
      <c r="M53" s="2" t="s">
        <v>109</v>
      </c>
      <c r="N53" s="2" t="s">
        <v>111</v>
      </c>
      <c r="O53" s="2" t="s">
        <v>111</v>
      </c>
      <c r="P53" s="2" t="s">
        <v>111</v>
      </c>
      <c r="Q53" s="2" t="s">
        <v>111</v>
      </c>
      <c r="R53" s="2" t="s">
        <v>109</v>
      </c>
      <c r="S53" s="2" t="s">
        <v>111</v>
      </c>
      <c r="T53" s="2" t="s">
        <v>111</v>
      </c>
      <c r="U53" s="2" t="s">
        <v>109</v>
      </c>
      <c r="V53" s="2" t="s">
        <v>111</v>
      </c>
      <c r="W53" s="2" t="s">
        <v>111</v>
      </c>
      <c r="X53" s="2" t="s">
        <v>109</v>
      </c>
      <c r="Y53" s="2" t="s">
        <v>111</v>
      </c>
      <c r="Z53" s="2" t="s">
        <v>111</v>
      </c>
      <c r="AA53" s="2" t="s">
        <v>109</v>
      </c>
      <c r="AE53" s="2" t="s">
        <v>111</v>
      </c>
      <c r="AF53" s="2" t="s">
        <v>111</v>
      </c>
      <c r="AG53" s="2" t="s">
        <v>109</v>
      </c>
      <c r="AH53" s="3" t="s">
        <v>109</v>
      </c>
      <c r="AI53" s="2" t="s">
        <v>111</v>
      </c>
      <c r="AJ53" s="2" t="s">
        <v>109</v>
      </c>
      <c r="AK53" s="2">
        <v>60</v>
      </c>
      <c r="AL53" s="2">
        <v>25</v>
      </c>
      <c r="AM53" s="2">
        <v>75</v>
      </c>
      <c r="AN53" s="3" t="s">
        <v>109</v>
      </c>
    </row>
    <row r="54" spans="1:133" x14ac:dyDescent="0.2">
      <c r="A54" s="2" t="s">
        <v>211</v>
      </c>
      <c r="B54" s="2" t="s">
        <v>236</v>
      </c>
      <c r="C54" s="2" t="s">
        <v>166</v>
      </c>
      <c r="D54" s="2" t="s">
        <v>109</v>
      </c>
      <c r="E54" s="2" t="s">
        <v>116</v>
      </c>
      <c r="F54" s="3">
        <v>37</v>
      </c>
      <c r="G54" s="2" t="s">
        <v>109</v>
      </c>
      <c r="H54" s="2" t="s">
        <v>109</v>
      </c>
      <c r="I54" s="2" t="s">
        <v>109</v>
      </c>
      <c r="J54" s="2" t="s">
        <v>109</v>
      </c>
      <c r="K54" s="2" t="s">
        <v>109</v>
      </c>
      <c r="L54" s="2" t="s">
        <v>109</v>
      </c>
      <c r="M54" s="2" t="s">
        <v>109</v>
      </c>
      <c r="N54" s="2" t="s">
        <v>109</v>
      </c>
      <c r="O54" s="2" t="s">
        <v>111</v>
      </c>
      <c r="P54" s="2" t="s">
        <v>109</v>
      </c>
      <c r="Q54" s="2" t="s">
        <v>109</v>
      </c>
      <c r="R54" s="2" t="s">
        <v>111</v>
      </c>
      <c r="S54" s="2" t="s">
        <v>109</v>
      </c>
      <c r="T54" s="2" t="s">
        <v>109</v>
      </c>
      <c r="U54" s="2" t="s">
        <v>111</v>
      </c>
      <c r="AE54" s="2" t="s">
        <v>109</v>
      </c>
      <c r="AF54" s="2" t="s">
        <v>109</v>
      </c>
      <c r="AG54" s="2" t="s">
        <v>111</v>
      </c>
      <c r="AH54" s="3" t="s">
        <v>111</v>
      </c>
      <c r="AI54" s="2" t="s">
        <v>109</v>
      </c>
      <c r="AJ54" s="2" t="s">
        <v>111</v>
      </c>
      <c r="AK54" s="2">
        <v>60</v>
      </c>
      <c r="AL54" s="2">
        <v>12</v>
      </c>
      <c r="AM54" s="2">
        <v>60</v>
      </c>
      <c r="AN54" s="3" t="s">
        <v>109</v>
      </c>
      <c r="AO54" s="2">
        <v>80</v>
      </c>
      <c r="AP54" s="2">
        <v>80</v>
      </c>
      <c r="AQ54" s="2">
        <v>20</v>
      </c>
      <c r="AR54" s="2">
        <v>45</v>
      </c>
      <c r="AS54" s="2">
        <v>5</v>
      </c>
      <c r="AT54" s="2">
        <v>30</v>
      </c>
      <c r="AU54" s="2">
        <v>95</v>
      </c>
      <c r="AW54" s="2">
        <v>2</v>
      </c>
      <c r="AX54" s="2">
        <v>3</v>
      </c>
      <c r="AY54" s="2">
        <v>99</v>
      </c>
      <c r="AZ54" s="2">
        <v>1</v>
      </c>
      <c r="BA54" s="2">
        <v>65</v>
      </c>
      <c r="BB54" s="2">
        <v>65</v>
      </c>
      <c r="BC54" s="2">
        <v>65</v>
      </c>
      <c r="BD54" s="2">
        <v>65</v>
      </c>
      <c r="BE54" s="2">
        <v>65</v>
      </c>
      <c r="BF54" s="2">
        <v>5</v>
      </c>
      <c r="BG54" s="2">
        <v>5</v>
      </c>
      <c r="BH54" s="2">
        <v>5</v>
      </c>
      <c r="BI54" s="2">
        <v>7</v>
      </c>
      <c r="BU54" s="2">
        <v>9</v>
      </c>
      <c r="BV54" s="2">
        <v>7</v>
      </c>
      <c r="BW54" s="2">
        <v>8</v>
      </c>
      <c r="BX54" s="2">
        <v>4</v>
      </c>
      <c r="BY54" s="2">
        <v>7</v>
      </c>
      <c r="BZ54" s="2">
        <v>9</v>
      </c>
      <c r="CA54" s="2">
        <v>3</v>
      </c>
      <c r="CD54" s="3" t="s">
        <v>119</v>
      </c>
      <c r="CN54" s="2" t="s">
        <v>119</v>
      </c>
      <c r="CO54" s="3">
        <v>500000</v>
      </c>
      <c r="CP54" s="2">
        <v>20000</v>
      </c>
      <c r="CQ54" s="2">
        <v>2016</v>
      </c>
      <c r="CR54" s="2">
        <v>2016</v>
      </c>
      <c r="CS54" s="2">
        <v>5</v>
      </c>
      <c r="CT54" s="2">
        <v>95</v>
      </c>
      <c r="CU54" s="2">
        <v>80</v>
      </c>
      <c r="CV54" s="2">
        <v>20</v>
      </c>
      <c r="CW54" s="2">
        <v>0</v>
      </c>
      <c r="CX54" s="2">
        <v>0</v>
      </c>
      <c r="CY54" s="2">
        <v>0</v>
      </c>
      <c r="CZ54" s="2">
        <v>0</v>
      </c>
      <c r="DA54" s="2">
        <v>0</v>
      </c>
      <c r="DB54" s="2">
        <v>0</v>
      </c>
      <c r="DC54" s="2">
        <v>0</v>
      </c>
      <c r="DD54" s="2">
        <v>100</v>
      </c>
      <c r="DE54" s="2">
        <v>0</v>
      </c>
      <c r="DG54" s="2">
        <v>40</v>
      </c>
      <c r="DH54" s="2">
        <v>25</v>
      </c>
      <c r="DI54" s="2">
        <v>2</v>
      </c>
      <c r="DJ54" s="2">
        <v>5</v>
      </c>
      <c r="DK54" s="2">
        <v>20</v>
      </c>
      <c r="DL54" s="2">
        <v>3</v>
      </c>
      <c r="DM54" s="2">
        <v>0</v>
      </c>
      <c r="DN54" s="2">
        <v>5</v>
      </c>
      <c r="DO54" s="2">
        <v>0</v>
      </c>
      <c r="DQ54" s="2">
        <v>8</v>
      </c>
      <c r="DR54" s="2">
        <v>1</v>
      </c>
      <c r="DS54" s="2">
        <v>2016</v>
      </c>
      <c r="DT54" s="2">
        <v>2016</v>
      </c>
      <c r="DU54" s="3" t="s">
        <v>109</v>
      </c>
      <c r="DV54" s="3" t="s">
        <v>111</v>
      </c>
      <c r="DW54" s="3" t="s">
        <v>109</v>
      </c>
      <c r="DX54" s="3" t="s">
        <v>109</v>
      </c>
      <c r="DY54" s="3" t="s">
        <v>111</v>
      </c>
      <c r="DZ54" s="3" t="s">
        <v>111</v>
      </c>
      <c r="EA54" s="3" t="s">
        <v>111</v>
      </c>
      <c r="EB54" s="3" t="s">
        <v>111</v>
      </c>
      <c r="EC54" s="3" t="s">
        <v>111</v>
      </c>
    </row>
    <row r="55" spans="1:133" s="3" customFormat="1" x14ac:dyDescent="0.2">
      <c r="A55" s="3" t="s">
        <v>217</v>
      </c>
      <c r="B55" s="3" t="s">
        <v>215</v>
      </c>
      <c r="C55" s="3" t="s">
        <v>166</v>
      </c>
      <c r="D55" s="3" t="s">
        <v>109</v>
      </c>
      <c r="E55" s="3" t="s">
        <v>116</v>
      </c>
      <c r="F55" s="3">
        <v>66.5</v>
      </c>
      <c r="G55" s="3" t="s">
        <v>109</v>
      </c>
      <c r="H55" s="3" t="s">
        <v>109</v>
      </c>
      <c r="I55" s="3" t="s">
        <v>109</v>
      </c>
      <c r="J55" s="3" t="s">
        <v>109</v>
      </c>
      <c r="K55" s="3" t="s">
        <v>109</v>
      </c>
      <c r="L55" s="3" t="s">
        <v>109</v>
      </c>
      <c r="M55" s="3" t="s">
        <v>109</v>
      </c>
      <c r="N55" s="3" t="s">
        <v>109</v>
      </c>
      <c r="O55" s="3" t="s">
        <v>111</v>
      </c>
      <c r="P55" s="3" t="s">
        <v>111</v>
      </c>
      <c r="Q55" s="3" t="s">
        <v>109</v>
      </c>
      <c r="R55" s="3" t="s">
        <v>111</v>
      </c>
      <c r="S55" s="3" t="s">
        <v>109</v>
      </c>
      <c r="T55" s="3" t="s">
        <v>109</v>
      </c>
      <c r="U55" s="3" t="s">
        <v>111</v>
      </c>
      <c r="V55" s="3" t="s">
        <v>111</v>
      </c>
      <c r="W55" s="3" t="s">
        <v>109</v>
      </c>
      <c r="X55" s="3" t="s">
        <v>111</v>
      </c>
      <c r="Y55" s="3" t="s">
        <v>111</v>
      </c>
      <c r="Z55" s="3" t="s">
        <v>111</v>
      </c>
      <c r="AA55" s="3" t="s">
        <v>109</v>
      </c>
      <c r="AB55" s="3" t="s">
        <v>111</v>
      </c>
      <c r="AC55" s="3" t="s">
        <v>111</v>
      </c>
      <c r="AD55" s="3" t="s">
        <v>109</v>
      </c>
      <c r="AE55" s="3" t="s">
        <v>111</v>
      </c>
      <c r="AF55" s="3" t="s">
        <v>111</v>
      </c>
      <c r="AG55" s="3" t="s">
        <v>109</v>
      </c>
      <c r="AH55" s="3" t="s">
        <v>111</v>
      </c>
      <c r="AI55" s="3" t="s">
        <v>109</v>
      </c>
      <c r="AJ55" s="3" t="s">
        <v>111</v>
      </c>
      <c r="AK55" s="3">
        <v>100</v>
      </c>
      <c r="AL55" s="3">
        <v>90</v>
      </c>
      <c r="AM55" s="3">
        <v>10</v>
      </c>
      <c r="AN55" s="3" t="s">
        <v>109</v>
      </c>
    </row>
    <row r="56" spans="1:133" s="3" customFormat="1" x14ac:dyDescent="0.2">
      <c r="A56" s="3" t="s">
        <v>211</v>
      </c>
      <c r="B56" s="3" t="s">
        <v>236</v>
      </c>
      <c r="C56" s="3" t="s">
        <v>166</v>
      </c>
      <c r="D56" s="3" t="s">
        <v>109</v>
      </c>
      <c r="E56" s="3" t="s">
        <v>110</v>
      </c>
      <c r="F56" s="3">
        <v>0</v>
      </c>
      <c r="G56" s="3" t="s">
        <v>109</v>
      </c>
      <c r="H56" s="3" t="s">
        <v>109</v>
      </c>
      <c r="I56" s="3" t="s">
        <v>111</v>
      </c>
      <c r="J56" s="3" t="s">
        <v>109</v>
      </c>
      <c r="K56" s="3" t="s">
        <v>109</v>
      </c>
      <c r="L56" s="3" t="s">
        <v>111</v>
      </c>
      <c r="M56" s="3" t="s">
        <v>109</v>
      </c>
      <c r="N56" s="3" t="s">
        <v>111</v>
      </c>
      <c r="O56" s="3" t="s">
        <v>111</v>
      </c>
      <c r="P56" s="3" t="s">
        <v>109</v>
      </c>
      <c r="Q56" s="3" t="s">
        <v>109</v>
      </c>
      <c r="R56" s="3" t="s">
        <v>111</v>
      </c>
      <c r="AE56" s="3" t="s">
        <v>109</v>
      </c>
      <c r="AF56" s="3" t="s">
        <v>109</v>
      </c>
      <c r="AG56" s="3" t="s">
        <v>111</v>
      </c>
      <c r="AK56" s="3">
        <v>20</v>
      </c>
      <c r="AL56" s="3">
        <v>20</v>
      </c>
      <c r="AM56" s="3">
        <v>50</v>
      </c>
      <c r="AN56" s="3" t="s">
        <v>109</v>
      </c>
      <c r="AO56" s="3">
        <v>20</v>
      </c>
      <c r="AP56" s="3">
        <v>20</v>
      </c>
      <c r="BB56" s="3">
        <v>20</v>
      </c>
      <c r="BC56" s="3">
        <v>30</v>
      </c>
      <c r="BP56" s="3">
        <v>20</v>
      </c>
      <c r="BQ56" s="3">
        <v>30</v>
      </c>
      <c r="BU56" s="3">
        <v>1</v>
      </c>
      <c r="BV56" s="3">
        <v>1</v>
      </c>
      <c r="BW56" s="3">
        <v>5</v>
      </c>
      <c r="BX56" s="3">
        <v>1</v>
      </c>
      <c r="BY56" s="3">
        <v>1</v>
      </c>
      <c r="BZ56" s="3">
        <v>4</v>
      </c>
      <c r="CA56" s="3">
        <v>1</v>
      </c>
      <c r="CB56" s="3">
        <v>9</v>
      </c>
      <c r="CC56" s="3" t="s">
        <v>152</v>
      </c>
      <c r="CD56" s="3" t="s">
        <v>111</v>
      </c>
      <c r="CN56" s="3" t="s">
        <v>113</v>
      </c>
      <c r="CO56" s="3">
        <v>3000</v>
      </c>
      <c r="CQ56" s="3">
        <v>2016</v>
      </c>
      <c r="CS56" s="3">
        <v>80</v>
      </c>
      <c r="CT56" s="3">
        <v>20</v>
      </c>
      <c r="CU56" s="3">
        <v>50</v>
      </c>
      <c r="CV56" s="3">
        <v>50</v>
      </c>
      <c r="CW56" s="3">
        <v>0</v>
      </c>
      <c r="CX56" s="3">
        <v>0</v>
      </c>
      <c r="CY56" s="3">
        <v>0</v>
      </c>
      <c r="CZ56" s="3">
        <v>0</v>
      </c>
      <c r="DA56" s="3">
        <v>0</v>
      </c>
      <c r="DB56" s="3">
        <v>0</v>
      </c>
      <c r="DC56" s="3">
        <v>70</v>
      </c>
      <c r="DD56" s="3">
        <v>20</v>
      </c>
      <c r="DE56" s="3">
        <v>10</v>
      </c>
      <c r="DG56" s="3">
        <v>0</v>
      </c>
      <c r="DH56" s="3">
        <v>0</v>
      </c>
      <c r="DI56" s="3">
        <v>0</v>
      </c>
      <c r="DJ56" s="3">
        <v>90</v>
      </c>
      <c r="DK56" s="3">
        <v>0</v>
      </c>
      <c r="DL56" s="3">
        <v>0</v>
      </c>
      <c r="DM56" s="3">
        <v>0</v>
      </c>
      <c r="DN56" s="3">
        <v>0</v>
      </c>
      <c r="DO56" s="3">
        <v>10</v>
      </c>
      <c r="DR56" s="3">
        <v>2</v>
      </c>
      <c r="DT56" s="3">
        <v>2016</v>
      </c>
      <c r="DU56" s="3" t="s">
        <v>109</v>
      </c>
      <c r="DV56" s="3" t="s">
        <v>111</v>
      </c>
      <c r="DW56" s="3" t="s">
        <v>111</v>
      </c>
      <c r="DX56" s="3" t="s">
        <v>109</v>
      </c>
      <c r="DY56" s="3" t="s">
        <v>111</v>
      </c>
      <c r="DZ56" s="3" t="s">
        <v>111</v>
      </c>
      <c r="EA56" s="3" t="s">
        <v>111</v>
      </c>
      <c r="EB56" s="3" t="s">
        <v>111</v>
      </c>
      <c r="EC56" s="3" t="s">
        <v>111</v>
      </c>
    </row>
    <row r="57" spans="1:133" s="3" customFormat="1" x14ac:dyDescent="0.2">
      <c r="A57" s="3" t="s">
        <v>216</v>
      </c>
      <c r="B57" s="3" t="s">
        <v>238</v>
      </c>
      <c r="C57" s="3" t="s">
        <v>166</v>
      </c>
      <c r="D57" s="3" t="s">
        <v>109</v>
      </c>
    </row>
    <row r="58" spans="1:133" s="3" customFormat="1" x14ac:dyDescent="0.2">
      <c r="A58" s="3" t="s">
        <v>216</v>
      </c>
      <c r="B58" s="3" t="s">
        <v>238</v>
      </c>
      <c r="C58" s="3" t="s">
        <v>166</v>
      </c>
      <c r="D58" s="3" t="s">
        <v>109</v>
      </c>
    </row>
    <row r="59" spans="1:133" s="3" customFormat="1" x14ac:dyDescent="0.2">
      <c r="A59" s="3" t="s">
        <v>211</v>
      </c>
      <c r="B59" s="3" t="s">
        <v>236</v>
      </c>
      <c r="C59" s="3" t="s">
        <v>166</v>
      </c>
      <c r="D59" s="3" t="s">
        <v>109</v>
      </c>
      <c r="G59" s="3" t="s">
        <v>111</v>
      </c>
      <c r="L59" s="3" t="s">
        <v>109</v>
      </c>
      <c r="M59" s="3" t="s">
        <v>109</v>
      </c>
      <c r="N59" s="3" t="s">
        <v>109</v>
      </c>
      <c r="O59" s="3" t="s">
        <v>111</v>
      </c>
      <c r="P59" s="3" t="s">
        <v>109</v>
      </c>
      <c r="Q59" s="3" t="s">
        <v>109</v>
      </c>
      <c r="R59" s="3" t="s">
        <v>111</v>
      </c>
      <c r="S59" s="3" t="s">
        <v>109</v>
      </c>
      <c r="T59" s="3" t="s">
        <v>109</v>
      </c>
      <c r="U59" s="3" t="s">
        <v>111</v>
      </c>
      <c r="V59" s="3" t="s">
        <v>111</v>
      </c>
      <c r="W59" s="3" t="s">
        <v>111</v>
      </c>
      <c r="X59" s="3" t="s">
        <v>109</v>
      </c>
      <c r="Y59" s="3" t="s">
        <v>111</v>
      </c>
      <c r="Z59" s="3" t="s">
        <v>111</v>
      </c>
      <c r="AA59" s="3" t="s">
        <v>109</v>
      </c>
      <c r="AB59" s="3" t="s">
        <v>111</v>
      </c>
      <c r="AC59" s="3" t="s">
        <v>111</v>
      </c>
      <c r="AD59" s="3" t="s">
        <v>109</v>
      </c>
      <c r="AE59" s="3" t="s">
        <v>109</v>
      </c>
      <c r="AF59" s="3" t="s">
        <v>109</v>
      </c>
      <c r="AG59" s="3" t="s">
        <v>111</v>
      </c>
      <c r="AH59" s="3" t="s">
        <v>111</v>
      </c>
      <c r="AI59" s="3" t="s">
        <v>109</v>
      </c>
      <c r="AJ59" s="3" t="s">
        <v>111</v>
      </c>
      <c r="AK59" s="3">
        <v>97</v>
      </c>
      <c r="AL59" s="3">
        <v>15</v>
      </c>
      <c r="AM59" s="3">
        <v>75</v>
      </c>
      <c r="AN59" s="3" t="s">
        <v>109</v>
      </c>
    </row>
    <row r="60" spans="1:133" s="3" customFormat="1" x14ac:dyDescent="0.2">
      <c r="A60" s="84" t="s">
        <v>224</v>
      </c>
      <c r="B60" s="3" t="s">
        <v>238</v>
      </c>
      <c r="C60" s="3" t="s">
        <v>166</v>
      </c>
      <c r="D60" s="3" t="s">
        <v>109</v>
      </c>
      <c r="E60" s="3" t="s">
        <v>110</v>
      </c>
      <c r="F60" s="3">
        <v>0</v>
      </c>
      <c r="G60" s="3" t="s">
        <v>109</v>
      </c>
      <c r="H60" s="3" t="s">
        <v>109</v>
      </c>
      <c r="I60" s="3" t="s">
        <v>111</v>
      </c>
      <c r="J60" s="3" t="s">
        <v>111</v>
      </c>
      <c r="K60" s="3" t="s">
        <v>111</v>
      </c>
      <c r="L60" s="3" t="s">
        <v>109</v>
      </c>
      <c r="M60" s="3" t="s">
        <v>109</v>
      </c>
      <c r="N60" s="3" t="s">
        <v>109</v>
      </c>
      <c r="O60" s="3" t="s">
        <v>111</v>
      </c>
      <c r="P60" s="3" t="s">
        <v>109</v>
      </c>
      <c r="Q60" s="3" t="s">
        <v>109</v>
      </c>
      <c r="R60" s="3" t="s">
        <v>111</v>
      </c>
      <c r="S60" s="3" t="s">
        <v>111</v>
      </c>
      <c r="T60" s="3" t="s">
        <v>109</v>
      </c>
      <c r="U60" s="3" t="s">
        <v>111</v>
      </c>
      <c r="V60" s="3" t="s">
        <v>109</v>
      </c>
      <c r="W60" s="3" t="s">
        <v>111</v>
      </c>
      <c r="X60" s="3" t="s">
        <v>111</v>
      </c>
      <c r="Y60" s="3" t="s">
        <v>111</v>
      </c>
      <c r="Z60" s="3" t="s">
        <v>111</v>
      </c>
      <c r="AA60" s="3" t="s">
        <v>109</v>
      </c>
      <c r="AB60" s="3" t="s">
        <v>111</v>
      </c>
      <c r="AC60" s="3" t="s">
        <v>111</v>
      </c>
      <c r="AD60" s="3" t="s">
        <v>109</v>
      </c>
      <c r="AE60" s="3" t="s">
        <v>109</v>
      </c>
      <c r="AF60" s="3" t="s">
        <v>109</v>
      </c>
      <c r="AG60" s="3" t="s">
        <v>111</v>
      </c>
      <c r="AH60" s="3" t="s">
        <v>111</v>
      </c>
      <c r="AI60" s="3" t="s">
        <v>109</v>
      </c>
      <c r="AJ60" s="3" t="s">
        <v>111</v>
      </c>
      <c r="AK60" s="3">
        <v>99</v>
      </c>
      <c r="AL60" s="3">
        <v>99</v>
      </c>
      <c r="AM60" s="3">
        <v>1</v>
      </c>
      <c r="AN60" s="3" t="s">
        <v>109</v>
      </c>
      <c r="AO60" s="3">
        <v>99</v>
      </c>
      <c r="AP60" s="3">
        <v>68</v>
      </c>
      <c r="AQ60" s="3">
        <v>90</v>
      </c>
      <c r="AT60" s="3">
        <v>10</v>
      </c>
      <c r="AU60" s="3">
        <v>90</v>
      </c>
      <c r="AX60" s="3">
        <v>10</v>
      </c>
      <c r="AY60" s="3">
        <v>40</v>
      </c>
      <c r="BA60" s="3">
        <v>60</v>
      </c>
      <c r="BB60" s="3">
        <v>60</v>
      </c>
      <c r="BC60" s="3">
        <v>60</v>
      </c>
      <c r="BD60" s="3">
        <v>1</v>
      </c>
      <c r="BE60" s="3">
        <v>1</v>
      </c>
      <c r="BF60" s="3">
        <v>1</v>
      </c>
      <c r="BG60" s="3">
        <v>1</v>
      </c>
      <c r="BH60" s="3">
        <v>1</v>
      </c>
      <c r="BI60" s="3">
        <v>1</v>
      </c>
      <c r="BJ60" s="3">
        <v>1</v>
      </c>
      <c r="BK60" s="3">
        <v>1</v>
      </c>
      <c r="BP60" s="3">
        <v>1</v>
      </c>
      <c r="BQ60" s="3">
        <v>1</v>
      </c>
      <c r="BU60" s="3">
        <v>2</v>
      </c>
      <c r="BV60" s="3">
        <v>1</v>
      </c>
      <c r="BW60" s="3">
        <v>4</v>
      </c>
      <c r="BX60" s="3">
        <v>1</v>
      </c>
      <c r="BY60" s="3">
        <v>10</v>
      </c>
      <c r="BZ60" s="3">
        <v>10</v>
      </c>
      <c r="CA60" s="3">
        <v>1</v>
      </c>
      <c r="CD60" s="3" t="s">
        <v>109</v>
      </c>
      <c r="CE60" s="3" t="s">
        <v>109</v>
      </c>
      <c r="CF60" s="3" t="s">
        <v>111</v>
      </c>
      <c r="CG60" s="3" t="s">
        <v>111</v>
      </c>
      <c r="CH60" s="3" t="s">
        <v>111</v>
      </c>
      <c r="CI60" s="3" t="s">
        <v>109</v>
      </c>
      <c r="CJ60" s="3" t="s">
        <v>111</v>
      </c>
      <c r="CK60" s="3" t="s">
        <v>111</v>
      </c>
      <c r="CL60" s="3" t="s">
        <v>111</v>
      </c>
      <c r="CM60" s="3">
        <v>65000</v>
      </c>
      <c r="CN60" s="3" t="s">
        <v>117</v>
      </c>
      <c r="CO60" s="3">
        <v>677</v>
      </c>
      <c r="CQ60" s="3">
        <v>2016</v>
      </c>
      <c r="CS60" s="3">
        <v>0</v>
      </c>
      <c r="CT60" s="3">
        <v>100</v>
      </c>
      <c r="CU60" s="3">
        <v>100</v>
      </c>
      <c r="CV60" s="3">
        <v>0</v>
      </c>
      <c r="CW60" s="3">
        <v>5</v>
      </c>
      <c r="CX60" s="3">
        <v>0</v>
      </c>
      <c r="CY60" s="3">
        <v>0</v>
      </c>
      <c r="CZ60" s="3">
        <v>0</v>
      </c>
      <c r="DA60" s="3">
        <v>0</v>
      </c>
      <c r="DB60" s="3">
        <v>0</v>
      </c>
      <c r="DC60" s="3">
        <v>0</v>
      </c>
      <c r="DD60" s="3">
        <v>95</v>
      </c>
      <c r="DE60" s="3">
        <v>0</v>
      </c>
      <c r="DG60" s="3">
        <v>0</v>
      </c>
      <c r="DH60" s="3">
        <v>5</v>
      </c>
      <c r="DI60" s="3">
        <v>0</v>
      </c>
      <c r="DJ60" s="3">
        <v>0</v>
      </c>
      <c r="DK60" s="3">
        <v>5</v>
      </c>
      <c r="DL60" s="3">
        <v>5</v>
      </c>
      <c r="DM60" s="3">
        <v>0</v>
      </c>
      <c r="DN60" s="3">
        <v>0</v>
      </c>
      <c r="DO60" s="3">
        <v>85</v>
      </c>
      <c r="DP60" s="3" t="s">
        <v>151</v>
      </c>
      <c r="DQ60" s="3">
        <v>0</v>
      </c>
      <c r="DR60" s="3">
        <v>1</v>
      </c>
      <c r="DS60" s="3">
        <v>0</v>
      </c>
      <c r="DT60" s="3">
        <v>1</v>
      </c>
      <c r="DU60" s="3" t="s">
        <v>111</v>
      </c>
      <c r="DV60" s="3" t="s">
        <v>111</v>
      </c>
      <c r="DW60" s="3" t="s">
        <v>111</v>
      </c>
      <c r="DX60" s="3" t="s">
        <v>111</v>
      </c>
      <c r="DY60" s="3" t="s">
        <v>109</v>
      </c>
      <c r="DZ60" s="3" t="s">
        <v>111</v>
      </c>
      <c r="EA60" s="3" t="s">
        <v>111</v>
      </c>
      <c r="EB60" s="3" t="s">
        <v>111</v>
      </c>
      <c r="EC60" s="3" t="s">
        <v>111</v>
      </c>
    </row>
    <row r="61" spans="1:133" s="3" customFormat="1" x14ac:dyDescent="0.2">
      <c r="A61" s="3" t="s">
        <v>211</v>
      </c>
      <c r="B61" s="3" t="s">
        <v>236</v>
      </c>
      <c r="C61" s="3" t="s">
        <v>166</v>
      </c>
      <c r="D61" s="3" t="s">
        <v>109</v>
      </c>
      <c r="E61" s="3" t="s">
        <v>120</v>
      </c>
      <c r="F61" s="3">
        <v>10.7</v>
      </c>
      <c r="G61" s="3" t="s">
        <v>109</v>
      </c>
      <c r="H61" s="3" t="s">
        <v>109</v>
      </c>
      <c r="I61" s="3" t="s">
        <v>111</v>
      </c>
      <c r="J61" s="3" t="s">
        <v>109</v>
      </c>
      <c r="K61" s="3" t="s">
        <v>111</v>
      </c>
      <c r="L61" s="3" t="s">
        <v>111</v>
      </c>
      <c r="M61" s="3" t="s">
        <v>109</v>
      </c>
      <c r="N61" s="3" t="s">
        <v>109</v>
      </c>
      <c r="O61" s="3" t="s">
        <v>111</v>
      </c>
      <c r="P61" s="3" t="s">
        <v>109</v>
      </c>
      <c r="Q61" s="3" t="s">
        <v>109</v>
      </c>
      <c r="R61" s="3" t="s">
        <v>111</v>
      </c>
      <c r="S61" s="3" t="s">
        <v>109</v>
      </c>
      <c r="T61" s="3" t="s">
        <v>109</v>
      </c>
      <c r="U61" s="3" t="s">
        <v>111</v>
      </c>
      <c r="V61" s="3" t="s">
        <v>111</v>
      </c>
      <c r="W61" s="3" t="s">
        <v>111</v>
      </c>
      <c r="X61" s="3" t="s">
        <v>109</v>
      </c>
      <c r="Y61" s="3" t="s">
        <v>111</v>
      </c>
      <c r="Z61" s="3" t="s">
        <v>111</v>
      </c>
      <c r="AA61" s="3" t="s">
        <v>109</v>
      </c>
      <c r="AB61" s="3" t="s">
        <v>109</v>
      </c>
      <c r="AC61" s="3" t="s">
        <v>109</v>
      </c>
      <c r="AD61" s="3" t="s">
        <v>111</v>
      </c>
      <c r="AE61" s="3" t="s">
        <v>109</v>
      </c>
      <c r="AF61" s="3" t="s">
        <v>109</v>
      </c>
      <c r="AG61" s="3" t="s">
        <v>111</v>
      </c>
      <c r="AH61" s="3" t="s">
        <v>109</v>
      </c>
      <c r="AI61" s="3" t="s">
        <v>109</v>
      </c>
      <c r="AJ61" s="3" t="s">
        <v>111</v>
      </c>
      <c r="AK61" s="3">
        <v>80</v>
      </c>
      <c r="AL61" s="3">
        <v>5</v>
      </c>
      <c r="AM61" s="3">
        <v>90</v>
      </c>
      <c r="AN61" s="3" t="s">
        <v>109</v>
      </c>
      <c r="AO61" s="3">
        <v>80</v>
      </c>
      <c r="AP61" s="3">
        <v>98</v>
      </c>
      <c r="AQ61" s="3">
        <v>10</v>
      </c>
      <c r="AR61" s="3">
        <v>30</v>
      </c>
      <c r="AS61" s="3">
        <v>20</v>
      </c>
      <c r="AT61" s="3">
        <v>40</v>
      </c>
      <c r="AU61" s="3">
        <v>98</v>
      </c>
      <c r="AV61" s="3">
        <v>0</v>
      </c>
      <c r="AW61" s="3">
        <v>1</v>
      </c>
      <c r="AX61" s="3">
        <v>1</v>
      </c>
      <c r="AY61" s="3">
        <v>10</v>
      </c>
      <c r="AZ61" s="3">
        <v>30</v>
      </c>
      <c r="BA61" s="3">
        <v>80</v>
      </c>
      <c r="BB61" s="3">
        <v>80</v>
      </c>
      <c r="BC61" s="3">
        <v>60</v>
      </c>
      <c r="BD61" s="3">
        <v>70</v>
      </c>
      <c r="BE61" s="3">
        <v>70</v>
      </c>
      <c r="BF61" s="3">
        <v>70</v>
      </c>
      <c r="BG61" s="3">
        <v>70</v>
      </c>
      <c r="BU61" s="3">
        <v>5</v>
      </c>
      <c r="BV61" s="3">
        <v>8</v>
      </c>
      <c r="BW61" s="3">
        <v>5</v>
      </c>
      <c r="BX61" s="3">
        <v>3</v>
      </c>
      <c r="BY61" s="3">
        <v>9</v>
      </c>
      <c r="BZ61" s="3">
        <v>9</v>
      </c>
      <c r="CA61" s="3">
        <v>2</v>
      </c>
      <c r="CD61" s="3" t="s">
        <v>109</v>
      </c>
      <c r="CE61" s="3" t="s">
        <v>109</v>
      </c>
      <c r="CF61" s="3" t="s">
        <v>111</v>
      </c>
      <c r="CG61" s="3" t="s">
        <v>111</v>
      </c>
      <c r="CH61" s="3" t="s">
        <v>111</v>
      </c>
      <c r="CI61" s="3" t="s">
        <v>111</v>
      </c>
      <c r="CJ61" s="3" t="s">
        <v>109</v>
      </c>
      <c r="CK61" s="3" t="s">
        <v>111</v>
      </c>
      <c r="CL61" s="3" t="s">
        <v>111</v>
      </c>
      <c r="CM61" s="3">
        <v>182812</v>
      </c>
      <c r="CN61" s="3" t="s">
        <v>117</v>
      </c>
      <c r="CO61" s="3">
        <v>80000</v>
      </c>
      <c r="CQ61" s="3">
        <v>2016</v>
      </c>
      <c r="CS61" s="3">
        <v>10</v>
      </c>
      <c r="CT61" s="3">
        <v>90</v>
      </c>
      <c r="CU61" s="3">
        <v>80</v>
      </c>
      <c r="CV61" s="3">
        <v>20</v>
      </c>
    </row>
    <row r="62" spans="1:133" s="3" customFormat="1" x14ac:dyDescent="0.2">
      <c r="A62" s="3" t="s">
        <v>216</v>
      </c>
      <c r="B62" s="3" t="s">
        <v>238</v>
      </c>
      <c r="C62" s="3" t="s">
        <v>166</v>
      </c>
      <c r="D62" s="3" t="s">
        <v>109</v>
      </c>
      <c r="E62" s="3" t="s">
        <v>116</v>
      </c>
      <c r="F62" s="3">
        <v>35</v>
      </c>
      <c r="G62" s="3" t="s">
        <v>109</v>
      </c>
      <c r="H62" s="3" t="s">
        <v>109</v>
      </c>
      <c r="I62" s="3" t="s">
        <v>111</v>
      </c>
      <c r="J62" s="3" t="s">
        <v>109</v>
      </c>
      <c r="K62" s="3" t="s">
        <v>109</v>
      </c>
      <c r="L62" s="3" t="s">
        <v>109</v>
      </c>
      <c r="M62" s="3" t="s">
        <v>109</v>
      </c>
      <c r="N62" s="3" t="s">
        <v>109</v>
      </c>
      <c r="O62" s="3" t="s">
        <v>111</v>
      </c>
      <c r="P62" s="3" t="s">
        <v>109</v>
      </c>
      <c r="Q62" s="3" t="s">
        <v>109</v>
      </c>
      <c r="R62" s="3" t="s">
        <v>111</v>
      </c>
      <c r="S62" s="3" t="s">
        <v>109</v>
      </c>
      <c r="T62" s="3" t="s">
        <v>109</v>
      </c>
      <c r="U62" s="3" t="s">
        <v>111</v>
      </c>
      <c r="V62" s="3" t="s">
        <v>111</v>
      </c>
      <c r="W62" s="3" t="s">
        <v>111</v>
      </c>
      <c r="X62" s="3" t="s">
        <v>109</v>
      </c>
      <c r="Y62" s="3" t="s">
        <v>111</v>
      </c>
      <c r="Z62" s="3" t="s">
        <v>111</v>
      </c>
      <c r="AA62" s="3" t="s">
        <v>109</v>
      </c>
      <c r="AB62" s="3" t="s">
        <v>111</v>
      </c>
      <c r="AC62" s="3" t="s">
        <v>111</v>
      </c>
      <c r="AD62" s="3" t="s">
        <v>109</v>
      </c>
      <c r="AE62" s="3" t="s">
        <v>109</v>
      </c>
      <c r="AF62" s="3" t="s">
        <v>109</v>
      </c>
      <c r="AG62" s="3" t="s">
        <v>111</v>
      </c>
      <c r="AH62" s="3" t="s">
        <v>109</v>
      </c>
      <c r="AI62" s="3" t="s">
        <v>109</v>
      </c>
      <c r="AJ62" s="3" t="s">
        <v>111</v>
      </c>
      <c r="AK62" s="3">
        <v>50</v>
      </c>
      <c r="AL62" s="3">
        <v>26</v>
      </c>
      <c r="AM62" s="3">
        <v>43</v>
      </c>
      <c r="AN62" s="3" t="s">
        <v>109</v>
      </c>
      <c r="AO62" s="3">
        <v>76</v>
      </c>
      <c r="AP62" s="3">
        <v>30</v>
      </c>
      <c r="AQ62" s="3">
        <v>0</v>
      </c>
      <c r="AR62" s="3">
        <v>0</v>
      </c>
      <c r="AS62" s="3">
        <v>50</v>
      </c>
      <c r="AT62" s="3">
        <v>50</v>
      </c>
      <c r="AU62" s="3">
        <v>10</v>
      </c>
      <c r="AV62" s="3">
        <v>10</v>
      </c>
      <c r="AW62" s="3">
        <v>10</v>
      </c>
      <c r="AX62" s="3">
        <v>70</v>
      </c>
      <c r="AY62" s="3">
        <v>30</v>
      </c>
      <c r="AZ62" s="3">
        <v>20</v>
      </c>
      <c r="BA62" s="3">
        <v>20</v>
      </c>
      <c r="BB62" s="3">
        <v>70</v>
      </c>
      <c r="BC62" s="3">
        <v>80</v>
      </c>
      <c r="BD62" s="3">
        <v>5</v>
      </c>
      <c r="BE62" s="3">
        <v>8</v>
      </c>
      <c r="BF62" s="3">
        <v>1</v>
      </c>
      <c r="BG62" s="3">
        <v>1</v>
      </c>
      <c r="BH62" s="3">
        <v>10</v>
      </c>
      <c r="BI62" s="3">
        <v>10</v>
      </c>
      <c r="BJ62" s="3">
        <v>3</v>
      </c>
      <c r="BK62" s="3">
        <v>5</v>
      </c>
      <c r="BP62" s="3">
        <v>3</v>
      </c>
      <c r="BQ62" s="3">
        <v>3</v>
      </c>
      <c r="BU62" s="3">
        <v>8</v>
      </c>
      <c r="BV62" s="3">
        <v>6</v>
      </c>
      <c r="BW62" s="3">
        <v>7</v>
      </c>
      <c r="BX62" s="3">
        <v>7</v>
      </c>
      <c r="BY62" s="3">
        <v>7</v>
      </c>
      <c r="BZ62" s="3">
        <v>8</v>
      </c>
      <c r="CA62" s="3">
        <v>5</v>
      </c>
      <c r="CD62" s="3" t="s">
        <v>119</v>
      </c>
      <c r="CN62" s="3" t="s">
        <v>113</v>
      </c>
      <c r="CO62" s="3">
        <v>10000</v>
      </c>
      <c r="CP62" s="3">
        <v>5000</v>
      </c>
      <c r="CQ62" s="3">
        <v>2016</v>
      </c>
      <c r="CR62" s="3">
        <v>2016</v>
      </c>
      <c r="CS62" s="3">
        <v>80</v>
      </c>
      <c r="CT62" s="3">
        <v>20</v>
      </c>
      <c r="CU62" s="3">
        <v>80</v>
      </c>
      <c r="CV62" s="3">
        <v>20</v>
      </c>
      <c r="CW62" s="3">
        <v>60</v>
      </c>
      <c r="CX62" s="3">
        <v>10</v>
      </c>
      <c r="CY62" s="3">
        <v>5</v>
      </c>
      <c r="CZ62" s="3">
        <v>5</v>
      </c>
      <c r="DA62" s="3">
        <v>5</v>
      </c>
      <c r="DB62" s="3">
        <v>5</v>
      </c>
      <c r="DC62" s="3">
        <v>5</v>
      </c>
      <c r="DD62" s="3">
        <v>5</v>
      </c>
      <c r="DE62" s="3">
        <v>0</v>
      </c>
      <c r="DG62" s="3">
        <v>40</v>
      </c>
      <c r="DH62" s="3">
        <v>20</v>
      </c>
      <c r="DI62" s="3">
        <v>5</v>
      </c>
      <c r="DJ62" s="3">
        <v>5</v>
      </c>
      <c r="DK62" s="3">
        <v>10</v>
      </c>
      <c r="DL62" s="3">
        <v>10</v>
      </c>
      <c r="DM62" s="3">
        <v>5</v>
      </c>
      <c r="DN62" s="3">
        <v>5</v>
      </c>
      <c r="DO62" s="3">
        <v>0</v>
      </c>
      <c r="DQ62" s="3">
        <v>5</v>
      </c>
      <c r="DR62" s="3">
        <v>3</v>
      </c>
      <c r="DS62" s="3">
        <v>2016</v>
      </c>
      <c r="DT62" s="3">
        <v>2016</v>
      </c>
      <c r="DU62" s="3" t="s">
        <v>109</v>
      </c>
      <c r="DV62" s="3" t="s">
        <v>111</v>
      </c>
      <c r="DW62" s="3" t="s">
        <v>109</v>
      </c>
      <c r="DX62" s="3" t="s">
        <v>111</v>
      </c>
      <c r="DY62" s="3" t="s">
        <v>111</v>
      </c>
      <c r="DZ62" s="3" t="s">
        <v>111</v>
      </c>
      <c r="EA62" s="3" t="s">
        <v>109</v>
      </c>
      <c r="EB62" s="3" t="s">
        <v>111</v>
      </c>
      <c r="EC62" s="3" t="s">
        <v>111</v>
      </c>
    </row>
    <row r="63" spans="1:133" x14ac:dyDescent="0.2">
      <c r="A63" s="8" t="s">
        <v>224</v>
      </c>
      <c r="B63" s="2" t="s">
        <v>238</v>
      </c>
      <c r="C63" s="2" t="s">
        <v>166</v>
      </c>
      <c r="D63" s="2" t="s">
        <v>109</v>
      </c>
      <c r="E63" s="2" t="s">
        <v>118</v>
      </c>
      <c r="F63" s="3">
        <v>8</v>
      </c>
      <c r="G63" s="2" t="s">
        <v>109</v>
      </c>
      <c r="H63" s="2" t="s">
        <v>109</v>
      </c>
      <c r="I63" s="2" t="s">
        <v>111</v>
      </c>
      <c r="J63" s="2" t="s">
        <v>109</v>
      </c>
      <c r="K63" s="2" t="s">
        <v>111</v>
      </c>
      <c r="L63" s="2" t="s">
        <v>111</v>
      </c>
      <c r="M63" s="2" t="s">
        <v>109</v>
      </c>
      <c r="N63" s="2" t="s">
        <v>111</v>
      </c>
      <c r="O63" s="2" t="s">
        <v>111</v>
      </c>
      <c r="P63" s="2" t="s">
        <v>109</v>
      </c>
      <c r="Q63" s="2" t="s">
        <v>111</v>
      </c>
      <c r="R63" s="2" t="s">
        <v>111</v>
      </c>
      <c r="S63" s="2" t="s">
        <v>109</v>
      </c>
      <c r="T63" s="2" t="s">
        <v>111</v>
      </c>
      <c r="U63" s="2" t="s">
        <v>111</v>
      </c>
      <c r="V63" s="2" t="s">
        <v>109</v>
      </c>
      <c r="W63" s="2" t="s">
        <v>111</v>
      </c>
      <c r="X63" s="2" t="s">
        <v>111</v>
      </c>
      <c r="Y63" s="2" t="s">
        <v>111</v>
      </c>
      <c r="Z63" s="2" t="s">
        <v>111</v>
      </c>
      <c r="AA63" s="2" t="s">
        <v>109</v>
      </c>
      <c r="AB63" s="2" t="s">
        <v>109</v>
      </c>
      <c r="AC63" s="2" t="s">
        <v>111</v>
      </c>
      <c r="AD63" s="2" t="s">
        <v>111</v>
      </c>
      <c r="AE63" s="2" t="s">
        <v>109</v>
      </c>
      <c r="AF63" s="2" t="s">
        <v>111</v>
      </c>
      <c r="AG63" s="2" t="s">
        <v>111</v>
      </c>
      <c r="AH63" s="3" t="s">
        <v>111</v>
      </c>
      <c r="AI63" s="2" t="s">
        <v>111</v>
      </c>
      <c r="AJ63" s="2" t="s">
        <v>109</v>
      </c>
      <c r="AK63" s="2">
        <v>1</v>
      </c>
      <c r="AL63" s="2">
        <v>10</v>
      </c>
      <c r="AM63" s="2">
        <v>90</v>
      </c>
      <c r="AN63" s="3" t="s">
        <v>109</v>
      </c>
      <c r="AO63" s="2">
        <v>0</v>
      </c>
      <c r="AP63" s="2">
        <v>0</v>
      </c>
      <c r="AY63" s="2">
        <v>0</v>
      </c>
      <c r="AZ63" s="2">
        <v>0</v>
      </c>
      <c r="BA63" s="2">
        <v>0</v>
      </c>
      <c r="BC63" s="2">
        <v>50</v>
      </c>
      <c r="BE63" s="2">
        <v>10</v>
      </c>
      <c r="BK63" s="2">
        <v>25</v>
      </c>
      <c r="BQ63" s="2">
        <v>5</v>
      </c>
      <c r="BU63" s="2">
        <v>8</v>
      </c>
      <c r="BV63" s="2">
        <v>8</v>
      </c>
      <c r="BW63" s="2">
        <v>8</v>
      </c>
      <c r="BX63" s="2">
        <v>2</v>
      </c>
      <c r="BY63" s="2">
        <v>7</v>
      </c>
      <c r="BZ63" s="2">
        <v>7</v>
      </c>
      <c r="CA63" s="2">
        <v>8</v>
      </c>
      <c r="CC63" s="2" t="s">
        <v>150</v>
      </c>
      <c r="CD63" s="3" t="s">
        <v>111</v>
      </c>
      <c r="CN63" s="2" t="s">
        <v>117</v>
      </c>
      <c r="CO63" s="3">
        <v>20000</v>
      </c>
      <c r="CQ63" s="2">
        <v>2017</v>
      </c>
      <c r="CS63" s="2">
        <v>50</v>
      </c>
      <c r="CT63" s="2">
        <v>50</v>
      </c>
      <c r="CU63" s="2">
        <v>40</v>
      </c>
      <c r="CV63" s="2">
        <v>60</v>
      </c>
      <c r="CW63" s="2">
        <v>40</v>
      </c>
      <c r="CX63" s="2">
        <v>0</v>
      </c>
      <c r="CY63" s="2">
        <v>0</v>
      </c>
      <c r="CZ63" s="2">
        <v>0</v>
      </c>
      <c r="DA63" s="2">
        <v>50</v>
      </c>
      <c r="DB63" s="2">
        <v>5</v>
      </c>
      <c r="DC63" s="2">
        <v>5</v>
      </c>
      <c r="DD63" s="2">
        <v>0</v>
      </c>
      <c r="DE63" s="2">
        <v>0</v>
      </c>
      <c r="DG63" s="2">
        <v>15</v>
      </c>
      <c r="DH63" s="2">
        <v>30</v>
      </c>
      <c r="DI63" s="2">
        <v>0</v>
      </c>
      <c r="DJ63" s="2">
        <v>30</v>
      </c>
      <c r="DK63" s="2">
        <v>15</v>
      </c>
      <c r="DL63" s="2">
        <v>0</v>
      </c>
      <c r="DM63" s="2">
        <v>0</v>
      </c>
      <c r="DN63" s="2">
        <v>10</v>
      </c>
      <c r="DO63" s="2">
        <v>0</v>
      </c>
      <c r="DQ63" s="2">
        <v>1</v>
      </c>
      <c r="DR63" s="2">
        <v>8</v>
      </c>
      <c r="DS63" s="2">
        <v>2017</v>
      </c>
      <c r="DT63" s="2">
        <v>2017</v>
      </c>
      <c r="DU63" s="3" t="s">
        <v>109</v>
      </c>
      <c r="DV63" s="3" t="s">
        <v>111</v>
      </c>
      <c r="DW63" s="3" t="s">
        <v>111</v>
      </c>
      <c r="DX63" s="3" t="s">
        <v>109</v>
      </c>
      <c r="DY63" s="3" t="s">
        <v>109</v>
      </c>
      <c r="DZ63" s="3" t="s">
        <v>111</v>
      </c>
      <c r="EA63" s="3" t="s">
        <v>111</v>
      </c>
      <c r="EB63" s="3" t="s">
        <v>111</v>
      </c>
      <c r="EC63" s="3" t="s">
        <v>111</v>
      </c>
    </row>
    <row r="64" spans="1:133" x14ac:dyDescent="0.2">
      <c r="A64" s="2" t="s">
        <v>149</v>
      </c>
      <c r="B64" s="2" t="s">
        <v>238</v>
      </c>
      <c r="C64" s="2" t="s">
        <v>166</v>
      </c>
      <c r="D64" s="2" t="s">
        <v>109</v>
      </c>
    </row>
    <row r="65" spans="1:133" s="3" customFormat="1" x14ac:dyDescent="0.2">
      <c r="A65" s="2" t="s">
        <v>211</v>
      </c>
      <c r="B65" s="2" t="s">
        <v>236</v>
      </c>
      <c r="C65" s="3" t="s">
        <v>166</v>
      </c>
      <c r="D65" s="3" t="s">
        <v>109</v>
      </c>
      <c r="E65" s="3" t="s">
        <v>116</v>
      </c>
      <c r="F65" s="3">
        <v>48.5</v>
      </c>
      <c r="G65" s="3" t="s">
        <v>109</v>
      </c>
      <c r="H65" s="3" t="s">
        <v>109</v>
      </c>
      <c r="I65" s="3" t="s">
        <v>111</v>
      </c>
      <c r="J65" s="3" t="s">
        <v>109</v>
      </c>
      <c r="K65" s="3" t="s">
        <v>109</v>
      </c>
      <c r="L65" s="3" t="s">
        <v>109</v>
      </c>
      <c r="M65" s="3" t="s">
        <v>109</v>
      </c>
      <c r="N65" s="3" t="s">
        <v>109</v>
      </c>
      <c r="O65" s="3" t="s">
        <v>111</v>
      </c>
      <c r="P65" s="3" t="s">
        <v>109</v>
      </c>
      <c r="Q65" s="3" t="s">
        <v>109</v>
      </c>
      <c r="R65" s="3" t="s">
        <v>111</v>
      </c>
      <c r="S65" s="3" t="s">
        <v>109</v>
      </c>
      <c r="T65" s="3" t="s">
        <v>109</v>
      </c>
      <c r="U65" s="3" t="s">
        <v>111</v>
      </c>
      <c r="V65" s="3" t="s">
        <v>109</v>
      </c>
      <c r="W65" s="3" t="s">
        <v>111</v>
      </c>
      <c r="X65" s="3" t="s">
        <v>111</v>
      </c>
      <c r="Y65" s="3" t="s">
        <v>111</v>
      </c>
      <c r="Z65" s="3" t="s">
        <v>111</v>
      </c>
      <c r="AA65" s="3" t="s">
        <v>109</v>
      </c>
      <c r="AB65" s="3" t="s">
        <v>111</v>
      </c>
      <c r="AC65" s="3" t="s">
        <v>111</v>
      </c>
      <c r="AD65" s="3" t="s">
        <v>109</v>
      </c>
      <c r="AE65" s="3" t="s">
        <v>109</v>
      </c>
      <c r="AF65" s="3" t="s">
        <v>109</v>
      </c>
      <c r="AG65" s="3" t="s">
        <v>111</v>
      </c>
      <c r="AH65" s="3" t="s">
        <v>111</v>
      </c>
      <c r="AI65" s="3" t="s">
        <v>109</v>
      </c>
      <c r="AJ65" s="3" t="s">
        <v>111</v>
      </c>
      <c r="AK65" s="3">
        <v>90</v>
      </c>
      <c r="AL65" s="3">
        <v>5</v>
      </c>
      <c r="AM65" s="3">
        <v>40</v>
      </c>
      <c r="AN65" s="3" t="s">
        <v>109</v>
      </c>
      <c r="AO65" s="3">
        <v>95</v>
      </c>
      <c r="AP65" s="3">
        <v>5</v>
      </c>
      <c r="AQ65" s="3">
        <v>85</v>
      </c>
      <c r="AR65" s="3">
        <v>0</v>
      </c>
      <c r="AS65" s="3">
        <v>5</v>
      </c>
      <c r="AT65" s="3">
        <v>10</v>
      </c>
      <c r="AU65" s="3">
        <v>100</v>
      </c>
      <c r="AV65" s="3">
        <v>0</v>
      </c>
      <c r="AW65" s="3">
        <v>0</v>
      </c>
      <c r="AX65" s="3">
        <v>0</v>
      </c>
      <c r="AY65" s="3">
        <v>0</v>
      </c>
      <c r="AZ65" s="3">
        <v>10</v>
      </c>
      <c r="BA65" s="3">
        <v>90</v>
      </c>
      <c r="BB65" s="3">
        <v>90</v>
      </c>
      <c r="BC65" s="3">
        <v>90</v>
      </c>
      <c r="BD65" s="3">
        <v>90</v>
      </c>
      <c r="BE65" s="3">
        <v>90</v>
      </c>
      <c r="BF65" s="3">
        <v>80</v>
      </c>
      <c r="BG65" s="3">
        <v>90</v>
      </c>
      <c r="BP65" s="3">
        <v>1</v>
      </c>
      <c r="BQ65" s="3">
        <v>1</v>
      </c>
      <c r="BU65" s="3">
        <v>9</v>
      </c>
      <c r="BV65" s="3">
        <v>5</v>
      </c>
      <c r="BW65" s="3">
        <v>8</v>
      </c>
      <c r="BX65" s="3">
        <v>3</v>
      </c>
      <c r="BY65" s="3">
        <v>8</v>
      </c>
      <c r="BZ65" s="3">
        <v>8</v>
      </c>
      <c r="CA65" s="3">
        <v>1</v>
      </c>
      <c r="CD65" s="3" t="s">
        <v>109</v>
      </c>
      <c r="CE65" s="3" t="s">
        <v>109</v>
      </c>
      <c r="CF65" s="3" t="s">
        <v>111</v>
      </c>
      <c r="CG65" s="3" t="s">
        <v>111</v>
      </c>
      <c r="CH65" s="3" t="s">
        <v>111</v>
      </c>
      <c r="CI65" s="3" t="s">
        <v>111</v>
      </c>
      <c r="CJ65" s="3" t="s">
        <v>109</v>
      </c>
      <c r="CK65" s="3" t="s">
        <v>109</v>
      </c>
      <c r="CL65" s="3" t="s">
        <v>111</v>
      </c>
      <c r="CN65" s="3" t="s">
        <v>117</v>
      </c>
      <c r="CO65" s="3">
        <v>1700000</v>
      </c>
      <c r="CP65" s="3">
        <v>0</v>
      </c>
      <c r="CQ65" s="3">
        <v>2016</v>
      </c>
      <c r="CR65" s="3">
        <v>2016</v>
      </c>
      <c r="CS65" s="3">
        <v>25</v>
      </c>
      <c r="CT65" s="3">
        <v>75</v>
      </c>
      <c r="CU65" s="3">
        <v>80</v>
      </c>
      <c r="CV65" s="3">
        <v>20</v>
      </c>
      <c r="CW65" s="3">
        <v>5</v>
      </c>
      <c r="CX65" s="3">
        <v>10</v>
      </c>
      <c r="CY65" s="2">
        <v>0</v>
      </c>
      <c r="CZ65" s="3">
        <v>5</v>
      </c>
      <c r="DA65" s="3">
        <v>15</v>
      </c>
      <c r="DB65" s="2">
        <v>0</v>
      </c>
      <c r="DC65" s="3">
        <v>15</v>
      </c>
      <c r="DD65" s="3">
        <v>50</v>
      </c>
      <c r="DE65" s="2">
        <v>0</v>
      </c>
      <c r="DG65" s="3">
        <v>40</v>
      </c>
      <c r="DH65" s="3">
        <v>20</v>
      </c>
      <c r="DI65" s="2">
        <v>0</v>
      </c>
      <c r="DJ65" s="2">
        <v>0</v>
      </c>
      <c r="DK65" s="3">
        <v>20</v>
      </c>
      <c r="DL65" s="3">
        <v>10</v>
      </c>
      <c r="DM65" s="3">
        <v>0</v>
      </c>
      <c r="DN65" s="3">
        <v>10</v>
      </c>
      <c r="DO65" s="2">
        <v>0</v>
      </c>
      <c r="DQ65" s="3">
        <v>50</v>
      </c>
      <c r="DR65" s="3">
        <v>46</v>
      </c>
      <c r="DS65" s="3">
        <v>2016</v>
      </c>
      <c r="DT65" s="3">
        <v>2016</v>
      </c>
      <c r="DU65" s="3" t="s">
        <v>109</v>
      </c>
      <c r="DV65" s="3" t="s">
        <v>111</v>
      </c>
      <c r="DW65" s="3" t="s">
        <v>111</v>
      </c>
      <c r="DX65" s="3" t="s">
        <v>111</v>
      </c>
      <c r="DY65" s="3" t="s">
        <v>111</v>
      </c>
      <c r="DZ65" s="3" t="s">
        <v>111</v>
      </c>
      <c r="EA65" s="3" t="s">
        <v>111</v>
      </c>
      <c r="EB65" s="3" t="s">
        <v>111</v>
      </c>
    </row>
    <row r="66" spans="1:133" x14ac:dyDescent="0.2">
      <c r="A66" s="2" t="s">
        <v>211</v>
      </c>
      <c r="B66" s="2" t="s">
        <v>236</v>
      </c>
      <c r="C66" s="2" t="s">
        <v>166</v>
      </c>
      <c r="D66" s="2" t="s">
        <v>109</v>
      </c>
      <c r="E66" s="2" t="s">
        <v>118</v>
      </c>
      <c r="F66" s="3">
        <v>12.5</v>
      </c>
      <c r="G66" s="2" t="s">
        <v>111</v>
      </c>
      <c r="L66" s="2" t="s">
        <v>109</v>
      </c>
      <c r="M66" s="2" t="s">
        <v>109</v>
      </c>
      <c r="N66" s="2" t="s">
        <v>111</v>
      </c>
      <c r="O66" s="2" t="s">
        <v>111</v>
      </c>
      <c r="P66" s="2" t="s">
        <v>109</v>
      </c>
      <c r="Q66" s="2" t="s">
        <v>109</v>
      </c>
      <c r="R66" s="2" t="s">
        <v>111</v>
      </c>
      <c r="S66" s="2" t="s">
        <v>109</v>
      </c>
      <c r="T66" s="2" t="s">
        <v>109</v>
      </c>
      <c r="U66" s="2" t="s">
        <v>111</v>
      </c>
      <c r="V66" s="2" t="s">
        <v>111</v>
      </c>
      <c r="W66" s="2" t="s">
        <v>111</v>
      </c>
      <c r="X66" s="2" t="s">
        <v>109</v>
      </c>
      <c r="Y66" s="2" t="s">
        <v>111</v>
      </c>
      <c r="Z66" s="2" t="s">
        <v>111</v>
      </c>
      <c r="AA66" s="2" t="s">
        <v>109</v>
      </c>
      <c r="AB66" s="2" t="s">
        <v>111</v>
      </c>
      <c r="AC66" s="2" t="s">
        <v>111</v>
      </c>
      <c r="AD66" s="2" t="s">
        <v>109</v>
      </c>
      <c r="AE66" s="2" t="s">
        <v>109</v>
      </c>
      <c r="AF66" s="2" t="s">
        <v>109</v>
      </c>
      <c r="AG66" s="2" t="s">
        <v>111</v>
      </c>
      <c r="AH66" s="3" t="s">
        <v>111</v>
      </c>
      <c r="AI66" s="2" t="s">
        <v>111</v>
      </c>
      <c r="AJ66" s="2" t="s">
        <v>109</v>
      </c>
      <c r="AK66" s="2">
        <v>95</v>
      </c>
      <c r="AL66" s="2">
        <v>10</v>
      </c>
      <c r="AM66" s="2">
        <v>20</v>
      </c>
      <c r="AN66" s="3" t="s">
        <v>109</v>
      </c>
      <c r="AO66" s="2">
        <v>95</v>
      </c>
      <c r="AP66" s="2">
        <v>100</v>
      </c>
      <c r="AQ66" s="2">
        <v>50</v>
      </c>
      <c r="AR66" s="2">
        <v>25</v>
      </c>
      <c r="AS66" s="2">
        <v>20</v>
      </c>
      <c r="AT66" s="2">
        <v>5</v>
      </c>
      <c r="AU66" s="2">
        <v>100</v>
      </c>
      <c r="AY66" s="2">
        <v>10</v>
      </c>
      <c r="AZ66" s="2">
        <v>10</v>
      </c>
      <c r="BA66" s="2">
        <v>80</v>
      </c>
      <c r="BB66" s="2">
        <v>80</v>
      </c>
      <c r="BC66" s="2">
        <v>90</v>
      </c>
      <c r="BD66" s="2">
        <v>80</v>
      </c>
      <c r="BE66" s="2">
        <v>90</v>
      </c>
      <c r="BF66" s="2">
        <v>80</v>
      </c>
      <c r="BG66" s="2">
        <v>90</v>
      </c>
      <c r="BJ66" s="2">
        <v>20</v>
      </c>
      <c r="BK66" s="2">
        <v>50</v>
      </c>
      <c r="BU66" s="2">
        <v>7</v>
      </c>
      <c r="BV66" s="2">
        <v>6</v>
      </c>
      <c r="BW66" s="2">
        <v>9</v>
      </c>
      <c r="BX66" s="2">
        <v>8</v>
      </c>
      <c r="BY66" s="2">
        <v>8</v>
      </c>
      <c r="BZ66" s="2">
        <v>6</v>
      </c>
      <c r="CA66" s="2">
        <v>1</v>
      </c>
      <c r="CD66" s="3" t="s">
        <v>109</v>
      </c>
      <c r="CE66" s="2" t="s">
        <v>109</v>
      </c>
      <c r="CF66" s="2" t="s">
        <v>109</v>
      </c>
      <c r="CG66" s="2" t="s">
        <v>111</v>
      </c>
      <c r="CH66" s="2" t="s">
        <v>111</v>
      </c>
      <c r="CI66" s="3" t="s">
        <v>111</v>
      </c>
      <c r="CJ66" s="3" t="s">
        <v>111</v>
      </c>
      <c r="CK66" s="2" t="s">
        <v>109</v>
      </c>
      <c r="CL66" s="3" t="s">
        <v>111</v>
      </c>
      <c r="CN66" s="2" t="s">
        <v>117</v>
      </c>
      <c r="CO66" s="3">
        <v>130000</v>
      </c>
      <c r="CQ66" s="2">
        <v>2016</v>
      </c>
      <c r="CS66" s="2">
        <v>20</v>
      </c>
      <c r="CT66" s="2">
        <v>80</v>
      </c>
      <c r="CU66" s="2">
        <v>70</v>
      </c>
      <c r="CV66" s="2">
        <v>30</v>
      </c>
      <c r="DQ66" s="2">
        <v>2.5</v>
      </c>
      <c r="DR66" s="2">
        <v>5</v>
      </c>
      <c r="DS66" s="2">
        <v>2016</v>
      </c>
      <c r="DT66" s="2">
        <v>2016</v>
      </c>
      <c r="DU66" s="3" t="s">
        <v>109</v>
      </c>
      <c r="DV66" s="3" t="s">
        <v>111</v>
      </c>
      <c r="DW66" s="3" t="s">
        <v>111</v>
      </c>
      <c r="DX66" s="3" t="s">
        <v>111</v>
      </c>
      <c r="DY66" s="3" t="s">
        <v>111</v>
      </c>
      <c r="DZ66" s="3" t="s">
        <v>111</v>
      </c>
      <c r="EA66" s="3" t="s">
        <v>109</v>
      </c>
      <c r="EB66" s="3" t="s">
        <v>111</v>
      </c>
      <c r="EC66" s="3" t="s">
        <v>111</v>
      </c>
    </row>
    <row r="67" spans="1:133" x14ac:dyDescent="0.2">
      <c r="A67" s="2" t="s">
        <v>211</v>
      </c>
      <c r="B67" s="2" t="s">
        <v>236</v>
      </c>
      <c r="C67" s="2" t="s">
        <v>166</v>
      </c>
      <c r="D67" s="2" t="s">
        <v>109</v>
      </c>
      <c r="E67" s="2" t="s">
        <v>120</v>
      </c>
      <c r="F67" s="3">
        <v>5</v>
      </c>
      <c r="G67" s="2" t="s">
        <v>111</v>
      </c>
      <c r="L67" s="2" t="s">
        <v>109</v>
      </c>
      <c r="M67" s="2" t="s">
        <v>109</v>
      </c>
      <c r="N67" s="2" t="s">
        <v>109</v>
      </c>
      <c r="O67" s="2" t="s">
        <v>111</v>
      </c>
      <c r="P67" s="2" t="s">
        <v>109</v>
      </c>
      <c r="Q67" s="2" t="s">
        <v>109</v>
      </c>
      <c r="R67" s="2" t="s">
        <v>111</v>
      </c>
      <c r="S67" s="2" t="s">
        <v>109</v>
      </c>
      <c r="T67" s="2" t="s">
        <v>109</v>
      </c>
      <c r="U67" s="2" t="s">
        <v>111</v>
      </c>
      <c r="V67" s="2" t="s">
        <v>109</v>
      </c>
      <c r="W67" s="2" t="s">
        <v>109</v>
      </c>
      <c r="X67" s="2" t="s">
        <v>111</v>
      </c>
      <c r="Y67" s="2" t="s">
        <v>111</v>
      </c>
      <c r="Z67" s="2" t="s">
        <v>111</v>
      </c>
      <c r="AA67" s="2" t="s">
        <v>109</v>
      </c>
      <c r="AB67" s="2" t="s">
        <v>111</v>
      </c>
      <c r="AC67" s="2" t="s">
        <v>111</v>
      </c>
      <c r="AD67" s="2" t="s">
        <v>109</v>
      </c>
      <c r="AE67" s="2" t="s">
        <v>109</v>
      </c>
      <c r="AF67" s="2" t="s">
        <v>109</v>
      </c>
      <c r="AG67" s="2" t="s">
        <v>111</v>
      </c>
      <c r="AH67" s="3" t="s">
        <v>111</v>
      </c>
      <c r="AI67" s="2" t="s">
        <v>109</v>
      </c>
      <c r="AJ67" s="2" t="s">
        <v>111</v>
      </c>
      <c r="AK67" s="2">
        <v>85</v>
      </c>
      <c r="AL67" s="2">
        <v>15</v>
      </c>
      <c r="AM67" s="2">
        <v>50</v>
      </c>
      <c r="AN67" s="3" t="s">
        <v>109</v>
      </c>
      <c r="AO67" s="2">
        <v>80</v>
      </c>
      <c r="AP67" s="2">
        <v>20</v>
      </c>
      <c r="AQ67" s="2">
        <v>2</v>
      </c>
      <c r="AR67" s="2">
        <v>5</v>
      </c>
      <c r="AS67" s="2">
        <v>78</v>
      </c>
      <c r="AT67" s="2">
        <v>15</v>
      </c>
      <c r="AV67" s="2">
        <v>100</v>
      </c>
      <c r="AZ67" s="2">
        <v>95</v>
      </c>
      <c r="BA67" s="2">
        <v>5</v>
      </c>
      <c r="BB67" s="2">
        <v>5</v>
      </c>
      <c r="BC67" s="2">
        <v>10</v>
      </c>
      <c r="BU67" s="2">
        <v>10</v>
      </c>
      <c r="BV67" s="2">
        <v>1</v>
      </c>
      <c r="BW67" s="2">
        <v>5</v>
      </c>
      <c r="BX67" s="2">
        <v>5</v>
      </c>
      <c r="BY67" s="2">
        <v>8</v>
      </c>
      <c r="BZ67" s="2">
        <v>8</v>
      </c>
      <c r="CA67" s="2">
        <v>1</v>
      </c>
      <c r="CD67" s="3" t="s">
        <v>109</v>
      </c>
      <c r="CE67" s="2" t="s">
        <v>109</v>
      </c>
      <c r="CF67" s="2" t="s">
        <v>111</v>
      </c>
      <c r="CG67" s="2" t="s">
        <v>111</v>
      </c>
      <c r="CH67" s="2" t="s">
        <v>111</v>
      </c>
      <c r="CI67" s="3" t="s">
        <v>111</v>
      </c>
      <c r="CJ67" s="2" t="s">
        <v>109</v>
      </c>
      <c r="CK67" s="2" t="s">
        <v>109</v>
      </c>
      <c r="CL67" s="3" t="s">
        <v>111</v>
      </c>
      <c r="CN67" s="2" t="s">
        <v>117</v>
      </c>
      <c r="CO67" s="3">
        <v>30000</v>
      </c>
      <c r="CQ67" s="2">
        <v>2016</v>
      </c>
      <c r="CS67" s="2">
        <v>20</v>
      </c>
      <c r="CT67" s="2">
        <v>80</v>
      </c>
      <c r="CU67" s="2">
        <v>100</v>
      </c>
      <c r="CV67" s="2">
        <v>0</v>
      </c>
      <c r="CW67" s="2">
        <v>0</v>
      </c>
      <c r="CX67" s="2">
        <v>5</v>
      </c>
      <c r="CY67" s="2">
        <v>5</v>
      </c>
      <c r="CZ67" s="2">
        <v>0</v>
      </c>
      <c r="DA67" s="2">
        <v>75</v>
      </c>
      <c r="DB67" s="2">
        <v>0</v>
      </c>
      <c r="DC67" s="2">
        <v>15</v>
      </c>
      <c r="DD67" s="2">
        <v>0</v>
      </c>
      <c r="DE67" s="2">
        <v>0</v>
      </c>
      <c r="DG67" s="2">
        <v>25</v>
      </c>
      <c r="DH67" s="2">
        <v>15</v>
      </c>
      <c r="DI67" s="2">
        <v>15</v>
      </c>
      <c r="DJ67" s="2">
        <v>5</v>
      </c>
      <c r="DK67" s="2">
        <v>5</v>
      </c>
      <c r="DL67" s="2">
        <v>15</v>
      </c>
      <c r="DM67" s="2">
        <v>10</v>
      </c>
      <c r="DN67" s="2">
        <v>10</v>
      </c>
      <c r="DO67" s="2">
        <v>0</v>
      </c>
      <c r="DQ67" s="2">
        <v>0.6</v>
      </c>
      <c r="DR67" s="2">
        <v>2</v>
      </c>
      <c r="DS67" s="2">
        <v>2016</v>
      </c>
      <c r="DT67" s="2">
        <v>2016</v>
      </c>
      <c r="DU67" s="3" t="s">
        <v>109</v>
      </c>
      <c r="DV67" s="3" t="s">
        <v>111</v>
      </c>
      <c r="DW67" s="3" t="s">
        <v>109</v>
      </c>
      <c r="DX67" s="3" t="s">
        <v>111</v>
      </c>
      <c r="DY67" s="3" t="s">
        <v>111</v>
      </c>
      <c r="DZ67" s="3" t="s">
        <v>111</v>
      </c>
      <c r="EA67" s="3" t="s">
        <v>111</v>
      </c>
      <c r="EB67" s="3" t="s">
        <v>111</v>
      </c>
      <c r="EC67" s="3" t="s">
        <v>111</v>
      </c>
    </row>
    <row r="68" spans="1:133" x14ac:dyDescent="0.2">
      <c r="A68" s="8" t="s">
        <v>224</v>
      </c>
      <c r="B68" s="2" t="s">
        <v>238</v>
      </c>
      <c r="C68" s="2" t="s">
        <v>166</v>
      </c>
      <c r="D68" s="2" t="s">
        <v>109</v>
      </c>
      <c r="E68" s="2" t="s">
        <v>120</v>
      </c>
      <c r="F68" s="3">
        <v>3.3</v>
      </c>
      <c r="G68" s="2" t="s">
        <v>111</v>
      </c>
      <c r="L68" s="2" t="s">
        <v>109</v>
      </c>
      <c r="M68" s="2" t="s">
        <v>109</v>
      </c>
      <c r="N68" s="2" t="s">
        <v>111</v>
      </c>
      <c r="O68" s="2" t="s">
        <v>111</v>
      </c>
      <c r="P68" s="2" t="s">
        <v>109</v>
      </c>
      <c r="Q68" s="2" t="s">
        <v>109</v>
      </c>
      <c r="R68" s="2" t="s">
        <v>111</v>
      </c>
      <c r="S68" s="2" t="s">
        <v>109</v>
      </c>
      <c r="T68" s="2" t="s">
        <v>109</v>
      </c>
      <c r="U68" s="2" t="s">
        <v>111</v>
      </c>
      <c r="V68" s="2" t="s">
        <v>109</v>
      </c>
      <c r="W68" s="2" t="s">
        <v>111</v>
      </c>
      <c r="X68" s="2" t="s">
        <v>111</v>
      </c>
      <c r="Y68" s="2" t="s">
        <v>111</v>
      </c>
      <c r="Z68" s="2" t="s">
        <v>111</v>
      </c>
      <c r="AA68" s="2" t="s">
        <v>109</v>
      </c>
      <c r="AB68" s="2" t="s">
        <v>111</v>
      </c>
      <c r="AC68" s="2" t="s">
        <v>111</v>
      </c>
      <c r="AD68" s="2" t="s">
        <v>109</v>
      </c>
      <c r="AE68" s="2" t="s">
        <v>109</v>
      </c>
      <c r="AF68" s="2" t="s">
        <v>111</v>
      </c>
      <c r="AG68" s="2" t="s">
        <v>111</v>
      </c>
      <c r="AH68" s="3" t="s">
        <v>109</v>
      </c>
      <c r="AI68" s="2" t="s">
        <v>109</v>
      </c>
      <c r="AJ68" s="2" t="s">
        <v>111</v>
      </c>
      <c r="AK68" s="2">
        <v>85</v>
      </c>
      <c r="AL68" s="2">
        <v>30</v>
      </c>
      <c r="AM68" s="2">
        <v>70</v>
      </c>
      <c r="AN68" s="3" t="s">
        <v>109</v>
      </c>
      <c r="AO68" s="2">
        <v>95</v>
      </c>
      <c r="AP68" s="2">
        <v>40</v>
      </c>
      <c r="AQ68" s="2">
        <v>40</v>
      </c>
      <c r="AR68" s="2">
        <v>40</v>
      </c>
      <c r="AS68" s="2">
        <v>15</v>
      </c>
      <c r="AT68" s="2">
        <v>5</v>
      </c>
      <c r="AU68" s="2">
        <v>95</v>
      </c>
      <c r="AV68" s="2">
        <v>0</v>
      </c>
      <c r="AW68" s="2">
        <v>0</v>
      </c>
      <c r="AX68" s="2">
        <v>5</v>
      </c>
      <c r="AY68" s="2">
        <v>0</v>
      </c>
      <c r="AZ68" s="2">
        <v>10</v>
      </c>
      <c r="BA68" s="2">
        <v>90</v>
      </c>
      <c r="BR68" s="2">
        <v>85</v>
      </c>
      <c r="BS68" s="2">
        <v>90</v>
      </c>
      <c r="BT68" s="2" t="s">
        <v>148</v>
      </c>
      <c r="BU68" s="2">
        <v>8</v>
      </c>
      <c r="BV68" s="2">
        <v>7</v>
      </c>
      <c r="BW68" s="2">
        <v>7</v>
      </c>
      <c r="BX68" s="2">
        <v>6</v>
      </c>
      <c r="BY68" s="2">
        <v>8</v>
      </c>
      <c r="BZ68" s="2">
        <v>9</v>
      </c>
      <c r="CA68" s="2">
        <v>7</v>
      </c>
      <c r="CD68" s="3" t="s">
        <v>111</v>
      </c>
      <c r="CN68" s="2" t="s">
        <v>117</v>
      </c>
      <c r="CQ68" s="2">
        <v>2017</v>
      </c>
      <c r="CR68" s="2">
        <v>2017</v>
      </c>
    </row>
    <row r="69" spans="1:133" x14ac:dyDescent="0.2">
      <c r="A69" s="2" t="s">
        <v>229</v>
      </c>
      <c r="B69" s="2" t="s">
        <v>215</v>
      </c>
      <c r="C69" s="2" t="s">
        <v>166</v>
      </c>
      <c r="D69" s="2" t="s">
        <v>109</v>
      </c>
      <c r="E69" s="2" t="s">
        <v>110</v>
      </c>
      <c r="F69" s="3">
        <v>0.1</v>
      </c>
      <c r="G69" s="2" t="s">
        <v>119</v>
      </c>
      <c r="L69" s="2" t="s">
        <v>119</v>
      </c>
      <c r="M69" s="2" t="s">
        <v>109</v>
      </c>
      <c r="N69" s="2" t="s">
        <v>111</v>
      </c>
      <c r="O69" s="2" t="s">
        <v>111</v>
      </c>
      <c r="P69" s="2" t="s">
        <v>109</v>
      </c>
      <c r="Q69" s="2" t="s">
        <v>109</v>
      </c>
      <c r="R69" s="2" t="s">
        <v>111</v>
      </c>
      <c r="S69" s="2" t="s">
        <v>109</v>
      </c>
      <c r="T69" s="2" t="s">
        <v>109</v>
      </c>
      <c r="U69" s="2" t="s">
        <v>111</v>
      </c>
      <c r="V69" s="2" t="s">
        <v>109</v>
      </c>
      <c r="W69" s="2" t="s">
        <v>111</v>
      </c>
      <c r="X69" s="2" t="s">
        <v>111</v>
      </c>
      <c r="Y69" s="2" t="s">
        <v>111</v>
      </c>
      <c r="Z69" s="2" t="s">
        <v>111</v>
      </c>
      <c r="AA69" s="2" t="s">
        <v>109</v>
      </c>
      <c r="AB69" s="2" t="s">
        <v>109</v>
      </c>
      <c r="AC69" s="2" t="s">
        <v>111</v>
      </c>
      <c r="AD69" s="2" t="s">
        <v>111</v>
      </c>
      <c r="AE69" s="2" t="s">
        <v>109</v>
      </c>
      <c r="AF69" s="2" t="s">
        <v>109</v>
      </c>
      <c r="AG69" s="2" t="s">
        <v>111</v>
      </c>
      <c r="AH69" s="3" t="s">
        <v>111</v>
      </c>
      <c r="AI69" s="2" t="s">
        <v>109</v>
      </c>
      <c r="AJ69" s="2" t="s">
        <v>111</v>
      </c>
      <c r="AK69" s="2">
        <v>5</v>
      </c>
      <c r="AL69" s="2">
        <v>5</v>
      </c>
      <c r="AM69" s="2">
        <v>10</v>
      </c>
      <c r="AN69" s="3" t="s">
        <v>109</v>
      </c>
      <c r="AO69" s="2">
        <v>0</v>
      </c>
      <c r="AP69" s="2">
        <v>0</v>
      </c>
      <c r="AQ69" s="2">
        <v>15</v>
      </c>
      <c r="AR69" s="2">
        <v>15</v>
      </c>
      <c r="AS69" s="2">
        <v>10</v>
      </c>
      <c r="AT69" s="2">
        <v>60</v>
      </c>
      <c r="AX69" s="2">
        <v>100</v>
      </c>
      <c r="AY69" s="2">
        <v>5</v>
      </c>
      <c r="AZ69" s="2">
        <v>0</v>
      </c>
      <c r="BA69" s="2">
        <v>0</v>
      </c>
      <c r="BB69" s="2">
        <v>1</v>
      </c>
      <c r="BU69" s="2">
        <v>4</v>
      </c>
      <c r="BV69" s="2">
        <v>4</v>
      </c>
      <c r="BW69" s="2">
        <v>1</v>
      </c>
      <c r="BX69" s="2">
        <v>1</v>
      </c>
      <c r="BY69" s="2">
        <v>1</v>
      </c>
      <c r="BZ69" s="2">
        <v>4</v>
      </c>
      <c r="CA69" s="2">
        <v>8</v>
      </c>
      <c r="CD69" s="3" t="s">
        <v>111</v>
      </c>
      <c r="CN69" s="2" t="s">
        <v>117</v>
      </c>
      <c r="DG69" s="2">
        <v>0</v>
      </c>
      <c r="DH69" s="2">
        <v>0</v>
      </c>
      <c r="DI69" s="2">
        <v>0</v>
      </c>
      <c r="DJ69" s="2">
        <v>0</v>
      </c>
      <c r="DK69" s="2">
        <v>0</v>
      </c>
      <c r="DL69" s="2">
        <v>0</v>
      </c>
      <c r="DM69" s="2">
        <v>0</v>
      </c>
      <c r="DN69" s="2">
        <v>0</v>
      </c>
      <c r="DO69" s="2">
        <v>100</v>
      </c>
      <c r="DQ69" s="2">
        <v>0</v>
      </c>
      <c r="DR69" s="2">
        <v>0</v>
      </c>
      <c r="DU69" s="3" t="s">
        <v>109</v>
      </c>
      <c r="DV69" s="3" t="s">
        <v>111</v>
      </c>
      <c r="DW69" s="3" t="s">
        <v>111</v>
      </c>
      <c r="DX69" s="3" t="s">
        <v>111</v>
      </c>
      <c r="DY69" s="3" t="s">
        <v>111</v>
      </c>
      <c r="DZ69" s="3" t="s">
        <v>111</v>
      </c>
      <c r="EA69" s="3" t="s">
        <v>111</v>
      </c>
      <c r="EB69" s="3" t="s">
        <v>111</v>
      </c>
      <c r="EC69" s="3" t="s">
        <v>111</v>
      </c>
    </row>
    <row r="70" spans="1:133" x14ac:dyDescent="0.2">
      <c r="A70" s="8" t="s">
        <v>232</v>
      </c>
      <c r="B70" s="2" t="s">
        <v>237</v>
      </c>
      <c r="C70" s="2" t="s">
        <v>166</v>
      </c>
      <c r="D70" s="2" t="s">
        <v>109</v>
      </c>
      <c r="E70" s="2" t="s">
        <v>118</v>
      </c>
      <c r="F70" s="3">
        <v>70</v>
      </c>
      <c r="G70" s="2" t="s">
        <v>109</v>
      </c>
      <c r="H70" s="2" t="s">
        <v>109</v>
      </c>
      <c r="I70" s="2" t="s">
        <v>109</v>
      </c>
      <c r="J70" s="2" t="s">
        <v>109</v>
      </c>
      <c r="K70" s="2" t="s">
        <v>109</v>
      </c>
      <c r="L70" s="2" t="s">
        <v>109</v>
      </c>
      <c r="M70" s="2" t="s">
        <v>109</v>
      </c>
      <c r="N70" s="2" t="s">
        <v>109</v>
      </c>
      <c r="O70" s="2" t="s">
        <v>111</v>
      </c>
      <c r="P70" s="2" t="s">
        <v>109</v>
      </c>
      <c r="Q70" s="2" t="s">
        <v>109</v>
      </c>
      <c r="R70" s="2" t="s">
        <v>111</v>
      </c>
      <c r="S70" s="2" t="s">
        <v>109</v>
      </c>
      <c r="T70" s="2" t="s">
        <v>109</v>
      </c>
      <c r="U70" s="2" t="s">
        <v>111</v>
      </c>
      <c r="V70" s="2" t="s">
        <v>109</v>
      </c>
      <c r="W70" s="2" t="s">
        <v>111</v>
      </c>
      <c r="X70" s="2" t="s">
        <v>111</v>
      </c>
      <c r="Y70" s="2" t="s">
        <v>111</v>
      </c>
      <c r="Z70" s="2" t="s">
        <v>111</v>
      </c>
      <c r="AA70" s="2" t="s">
        <v>109</v>
      </c>
      <c r="AB70" s="2" t="s">
        <v>111</v>
      </c>
      <c r="AC70" s="2" t="s">
        <v>111</v>
      </c>
      <c r="AD70" s="2" t="s">
        <v>109</v>
      </c>
      <c r="AE70" s="2" t="s">
        <v>109</v>
      </c>
      <c r="AF70" s="2" t="s">
        <v>109</v>
      </c>
      <c r="AG70" s="2" t="s">
        <v>111</v>
      </c>
      <c r="AH70" s="3" t="s">
        <v>111</v>
      </c>
      <c r="AI70" s="2" t="s">
        <v>109</v>
      </c>
      <c r="AJ70" s="2" t="s">
        <v>111</v>
      </c>
      <c r="AK70" s="2">
        <v>95</v>
      </c>
      <c r="AL70" s="2">
        <v>25</v>
      </c>
      <c r="AM70" s="2">
        <v>75</v>
      </c>
      <c r="AN70" s="3" t="s">
        <v>109</v>
      </c>
      <c r="AO70" s="2">
        <v>95</v>
      </c>
      <c r="AP70" s="2">
        <v>80</v>
      </c>
      <c r="AQ70" s="2">
        <v>2</v>
      </c>
      <c r="AR70" s="2">
        <v>1</v>
      </c>
      <c r="AS70" s="2">
        <v>87</v>
      </c>
      <c r="AT70" s="2">
        <v>10</v>
      </c>
      <c r="AU70" s="2">
        <v>0</v>
      </c>
      <c r="AV70" s="2">
        <v>100</v>
      </c>
      <c r="AW70" s="2">
        <v>0</v>
      </c>
      <c r="AX70" s="2">
        <v>0</v>
      </c>
      <c r="AY70" s="2">
        <v>2</v>
      </c>
      <c r="AZ70" s="2">
        <v>18</v>
      </c>
      <c r="BA70" s="2">
        <v>80</v>
      </c>
      <c r="BB70" s="2">
        <v>80</v>
      </c>
      <c r="BC70" s="2">
        <v>90</v>
      </c>
      <c r="BF70" s="2">
        <v>1</v>
      </c>
      <c r="BG70" s="2">
        <v>2</v>
      </c>
      <c r="BH70" s="2">
        <v>1</v>
      </c>
      <c r="BI70" s="2">
        <v>2</v>
      </c>
      <c r="BU70" s="2">
        <v>10</v>
      </c>
      <c r="BV70" s="2">
        <v>5</v>
      </c>
      <c r="BW70" s="2">
        <v>8</v>
      </c>
      <c r="BX70" s="2">
        <v>1</v>
      </c>
      <c r="BY70" s="2">
        <v>4</v>
      </c>
      <c r="BZ70" s="2">
        <v>9</v>
      </c>
      <c r="CA70" s="2">
        <v>3</v>
      </c>
      <c r="CD70" s="3" t="s">
        <v>109</v>
      </c>
      <c r="CE70" s="2" t="s">
        <v>109</v>
      </c>
      <c r="CF70" s="2" t="s">
        <v>111</v>
      </c>
      <c r="CG70" s="2" t="s">
        <v>111</v>
      </c>
      <c r="CH70" s="2" t="s">
        <v>111</v>
      </c>
      <c r="CI70" s="3" t="s">
        <v>111</v>
      </c>
      <c r="CJ70" s="3" t="s">
        <v>111</v>
      </c>
      <c r="CK70" s="3" t="s">
        <v>111</v>
      </c>
      <c r="CL70" s="3" t="s">
        <v>111</v>
      </c>
      <c r="CM70" s="2">
        <v>49859</v>
      </c>
      <c r="CN70" s="2" t="s">
        <v>115</v>
      </c>
      <c r="DQ70" s="2">
        <v>3</v>
      </c>
      <c r="DS70" s="2">
        <v>2017</v>
      </c>
      <c r="DU70" s="3" t="s">
        <v>109</v>
      </c>
      <c r="DV70" s="3" t="s">
        <v>111</v>
      </c>
      <c r="DW70" s="3" t="s">
        <v>111</v>
      </c>
      <c r="DX70" s="3" t="s">
        <v>111</v>
      </c>
      <c r="DY70" s="3" t="s">
        <v>111</v>
      </c>
      <c r="DZ70" s="3" t="s">
        <v>111</v>
      </c>
      <c r="EA70" s="3" t="s">
        <v>111</v>
      </c>
      <c r="EB70" s="3" t="s">
        <v>111</v>
      </c>
    </row>
    <row r="71" spans="1:133" x14ac:dyDescent="0.2">
      <c r="A71" s="2" t="s">
        <v>216</v>
      </c>
      <c r="B71" s="2" t="s">
        <v>238</v>
      </c>
      <c r="C71" s="2" t="s">
        <v>166</v>
      </c>
      <c r="D71" s="2" t="s">
        <v>109</v>
      </c>
      <c r="E71" s="2" t="s">
        <v>122</v>
      </c>
      <c r="F71" s="3">
        <v>0.5</v>
      </c>
      <c r="G71" s="2" t="s">
        <v>111</v>
      </c>
      <c r="L71" s="2" t="s">
        <v>111</v>
      </c>
      <c r="M71" s="2" t="s">
        <v>109</v>
      </c>
      <c r="N71" s="2" t="s">
        <v>111</v>
      </c>
      <c r="O71" s="2" t="s">
        <v>111</v>
      </c>
      <c r="P71" s="2" t="s">
        <v>111</v>
      </c>
      <c r="Q71" s="2" t="s">
        <v>109</v>
      </c>
      <c r="R71" s="2" t="s">
        <v>111</v>
      </c>
      <c r="S71" s="2" t="s">
        <v>111</v>
      </c>
      <c r="T71" s="2" t="s">
        <v>111</v>
      </c>
      <c r="U71" s="2" t="s">
        <v>109</v>
      </c>
      <c r="V71" s="2" t="s">
        <v>109</v>
      </c>
      <c r="W71" s="2" t="s">
        <v>111</v>
      </c>
      <c r="X71" s="2" t="s">
        <v>111</v>
      </c>
      <c r="Y71" s="2" t="s">
        <v>111</v>
      </c>
      <c r="Z71" s="2" t="s">
        <v>111</v>
      </c>
      <c r="AA71" s="2" t="s">
        <v>109</v>
      </c>
      <c r="AB71" s="2" t="s">
        <v>109</v>
      </c>
      <c r="AC71" s="2" t="s">
        <v>111</v>
      </c>
      <c r="AD71" s="2" t="s">
        <v>111</v>
      </c>
      <c r="AE71" s="2" t="s">
        <v>111</v>
      </c>
      <c r="AF71" s="2" t="s">
        <v>111</v>
      </c>
      <c r="AG71" s="2" t="s">
        <v>109</v>
      </c>
      <c r="AH71" s="3" t="s">
        <v>111</v>
      </c>
      <c r="AI71" s="2" t="s">
        <v>111</v>
      </c>
      <c r="AJ71" s="2" t="s">
        <v>109</v>
      </c>
      <c r="AK71" s="2">
        <v>40</v>
      </c>
      <c r="AL71" s="2">
        <v>10</v>
      </c>
      <c r="AM71" s="2">
        <v>90</v>
      </c>
      <c r="AN71" s="3" t="s">
        <v>109</v>
      </c>
      <c r="AO71" s="2">
        <v>1</v>
      </c>
      <c r="AP71" s="2">
        <v>1</v>
      </c>
      <c r="AR71" s="2">
        <v>80</v>
      </c>
      <c r="AS71" s="2">
        <v>20</v>
      </c>
      <c r="AV71" s="2">
        <v>50</v>
      </c>
      <c r="AW71" s="2">
        <v>50</v>
      </c>
      <c r="AY71" s="2">
        <v>20</v>
      </c>
      <c r="BB71" s="2">
        <v>1</v>
      </c>
      <c r="BC71" s="2">
        <v>50</v>
      </c>
      <c r="BU71" s="2">
        <v>7</v>
      </c>
      <c r="BV71" s="2">
        <v>3</v>
      </c>
      <c r="BW71" s="2">
        <v>7</v>
      </c>
      <c r="BX71" s="2">
        <v>1</v>
      </c>
      <c r="BY71" s="2">
        <v>8</v>
      </c>
      <c r="BZ71" s="2">
        <v>6</v>
      </c>
      <c r="CA71" s="2">
        <v>4</v>
      </c>
      <c r="CB71" s="2">
        <v>1</v>
      </c>
      <c r="CD71" s="3" t="s">
        <v>111</v>
      </c>
      <c r="CN71" s="2" t="s">
        <v>117</v>
      </c>
      <c r="CO71" s="3">
        <v>200</v>
      </c>
      <c r="CP71" s="2">
        <v>2000</v>
      </c>
      <c r="CR71" s="2">
        <v>2016</v>
      </c>
      <c r="CS71" s="2">
        <v>60</v>
      </c>
      <c r="CT71" s="2">
        <v>40</v>
      </c>
      <c r="CU71" s="2">
        <v>100</v>
      </c>
      <c r="CV71" s="2">
        <v>0</v>
      </c>
      <c r="CW71" s="2">
        <v>10</v>
      </c>
      <c r="CX71" s="2">
        <v>0</v>
      </c>
      <c r="CY71" s="2">
        <v>0</v>
      </c>
      <c r="CZ71" s="2">
        <v>0</v>
      </c>
      <c r="DA71" s="2">
        <v>80</v>
      </c>
      <c r="DB71" s="2">
        <v>0</v>
      </c>
      <c r="DC71" s="2">
        <v>10</v>
      </c>
      <c r="DD71" s="2">
        <v>0</v>
      </c>
      <c r="DE71" s="2">
        <v>0</v>
      </c>
      <c r="DG71" s="2">
        <v>10</v>
      </c>
      <c r="DH71" s="2">
        <v>10</v>
      </c>
      <c r="DI71" s="2">
        <v>0</v>
      </c>
      <c r="DJ71" s="2">
        <v>60</v>
      </c>
      <c r="DK71" s="2">
        <v>0</v>
      </c>
      <c r="DL71" s="2">
        <v>0</v>
      </c>
      <c r="DM71" s="2">
        <v>0</v>
      </c>
      <c r="DN71" s="2">
        <v>20</v>
      </c>
      <c r="DO71" s="2">
        <v>0</v>
      </c>
      <c r="DR71" s="2">
        <v>0.2</v>
      </c>
      <c r="DT71" s="2">
        <v>2017</v>
      </c>
      <c r="DU71" s="3" t="s">
        <v>109</v>
      </c>
      <c r="DV71" s="3" t="s">
        <v>111</v>
      </c>
      <c r="DW71" s="3" t="s">
        <v>109</v>
      </c>
      <c r="DX71" s="3" t="s">
        <v>111</v>
      </c>
      <c r="DY71" s="3" t="s">
        <v>111</v>
      </c>
      <c r="DZ71" s="3" t="s">
        <v>111</v>
      </c>
      <c r="EA71" s="3" t="s">
        <v>111</v>
      </c>
      <c r="EB71" s="3" t="s">
        <v>111</v>
      </c>
    </row>
    <row r="72" spans="1:133" x14ac:dyDescent="0.2">
      <c r="A72" s="2" t="s">
        <v>216</v>
      </c>
      <c r="B72" s="2" t="s">
        <v>238</v>
      </c>
      <c r="C72" s="2" t="s">
        <v>166</v>
      </c>
      <c r="D72" s="2" t="s">
        <v>109</v>
      </c>
      <c r="E72" s="2" t="s">
        <v>116</v>
      </c>
      <c r="F72" s="3">
        <v>12.5</v>
      </c>
      <c r="G72" s="2" t="s">
        <v>111</v>
      </c>
      <c r="L72" s="2" t="s">
        <v>111</v>
      </c>
      <c r="M72" s="2" t="s">
        <v>109</v>
      </c>
      <c r="N72" s="2" t="s">
        <v>111</v>
      </c>
      <c r="O72" s="2" t="s">
        <v>111</v>
      </c>
      <c r="P72" s="2" t="s">
        <v>109</v>
      </c>
      <c r="Q72" s="2" t="s">
        <v>111</v>
      </c>
      <c r="R72" s="2" t="s">
        <v>111</v>
      </c>
      <c r="S72" s="2" t="s">
        <v>111</v>
      </c>
      <c r="T72" s="2" t="s">
        <v>111</v>
      </c>
      <c r="U72" s="2" t="s">
        <v>109</v>
      </c>
      <c r="V72" s="2" t="s">
        <v>109</v>
      </c>
      <c r="W72" s="2" t="s">
        <v>111</v>
      </c>
      <c r="X72" s="2" t="s">
        <v>111</v>
      </c>
      <c r="Y72" s="2" t="s">
        <v>111</v>
      </c>
      <c r="Z72" s="2" t="s">
        <v>111</v>
      </c>
      <c r="AA72" s="2" t="s">
        <v>109</v>
      </c>
      <c r="AB72" s="2" t="s">
        <v>111</v>
      </c>
      <c r="AC72" s="2" t="s">
        <v>111</v>
      </c>
      <c r="AD72" s="2" t="s">
        <v>109</v>
      </c>
      <c r="AE72" s="2" t="s">
        <v>111</v>
      </c>
      <c r="AF72" s="2" t="s">
        <v>111</v>
      </c>
      <c r="AG72" s="2" t="s">
        <v>109</v>
      </c>
      <c r="AH72" s="3" t="s">
        <v>111</v>
      </c>
      <c r="AI72" s="2" t="s">
        <v>111</v>
      </c>
      <c r="AJ72" s="2" t="s">
        <v>109</v>
      </c>
      <c r="AK72" s="2">
        <v>90</v>
      </c>
      <c r="AL72" s="2">
        <v>5</v>
      </c>
      <c r="AM72" s="2">
        <v>50</v>
      </c>
      <c r="AN72" s="3" t="s">
        <v>111</v>
      </c>
    </row>
    <row r="73" spans="1:133" x14ac:dyDescent="0.2">
      <c r="A73" s="8" t="s">
        <v>226</v>
      </c>
      <c r="B73" s="2" t="s">
        <v>238</v>
      </c>
      <c r="C73" s="2" t="s">
        <v>166</v>
      </c>
      <c r="D73" s="2" t="s">
        <v>109</v>
      </c>
      <c r="E73" s="2" t="s">
        <v>116</v>
      </c>
      <c r="F73" s="3">
        <v>28</v>
      </c>
      <c r="G73" s="2" t="s">
        <v>109</v>
      </c>
      <c r="H73" s="2" t="s">
        <v>109</v>
      </c>
      <c r="I73" s="2" t="s">
        <v>111</v>
      </c>
      <c r="J73" s="2" t="s">
        <v>109</v>
      </c>
      <c r="K73" s="2" t="s">
        <v>111</v>
      </c>
      <c r="L73" s="2" t="s">
        <v>111</v>
      </c>
      <c r="M73" s="2" t="s">
        <v>109</v>
      </c>
      <c r="N73" s="2" t="s">
        <v>111</v>
      </c>
      <c r="O73" s="2" t="s">
        <v>111</v>
      </c>
      <c r="P73" s="2" t="s">
        <v>109</v>
      </c>
      <c r="Q73" s="2" t="s">
        <v>111</v>
      </c>
      <c r="R73" s="2" t="s">
        <v>111</v>
      </c>
      <c r="S73" s="2" t="s">
        <v>109</v>
      </c>
      <c r="T73" s="2" t="s">
        <v>111</v>
      </c>
      <c r="U73" s="2" t="s">
        <v>111</v>
      </c>
      <c r="Y73" s="2" t="s">
        <v>109</v>
      </c>
      <c r="Z73" s="2" t="s">
        <v>109</v>
      </c>
      <c r="AA73" s="2" t="s">
        <v>111</v>
      </c>
      <c r="AB73" s="2" t="s">
        <v>109</v>
      </c>
      <c r="AC73" s="2" t="s">
        <v>111</v>
      </c>
      <c r="AD73" s="2" t="s">
        <v>111</v>
      </c>
      <c r="AE73" s="2" t="s">
        <v>109</v>
      </c>
      <c r="AF73" s="2" t="s">
        <v>111</v>
      </c>
      <c r="AG73" s="2" t="s">
        <v>111</v>
      </c>
      <c r="AK73" s="2">
        <v>72</v>
      </c>
      <c r="AL73" s="2">
        <v>51</v>
      </c>
      <c r="AM73" s="2">
        <v>50</v>
      </c>
      <c r="AN73" s="3" t="s">
        <v>109</v>
      </c>
    </row>
    <row r="74" spans="1:133" x14ac:dyDescent="0.2">
      <c r="A74" s="8" t="s">
        <v>224</v>
      </c>
      <c r="B74" s="2" t="s">
        <v>238</v>
      </c>
      <c r="C74" s="2" t="s">
        <v>166</v>
      </c>
      <c r="D74" s="2" t="s">
        <v>109</v>
      </c>
      <c r="E74" s="2" t="s">
        <v>120</v>
      </c>
      <c r="F74" s="3">
        <v>1</v>
      </c>
      <c r="G74" s="2" t="s">
        <v>109</v>
      </c>
      <c r="H74" s="2" t="s">
        <v>109</v>
      </c>
      <c r="I74" s="2" t="s">
        <v>111</v>
      </c>
      <c r="J74" s="2" t="s">
        <v>109</v>
      </c>
      <c r="K74" s="2" t="s">
        <v>111</v>
      </c>
      <c r="L74" s="2" t="s">
        <v>109</v>
      </c>
      <c r="M74" s="2" t="s">
        <v>109</v>
      </c>
      <c r="N74" s="2" t="s">
        <v>111</v>
      </c>
      <c r="O74" s="2" t="s">
        <v>111</v>
      </c>
      <c r="P74" s="2" t="s">
        <v>109</v>
      </c>
      <c r="Q74" s="2" t="s">
        <v>111</v>
      </c>
      <c r="R74" s="2" t="s">
        <v>111</v>
      </c>
      <c r="S74" s="2" t="s">
        <v>109</v>
      </c>
      <c r="T74" s="2" t="s">
        <v>111</v>
      </c>
      <c r="U74" s="2" t="s">
        <v>111</v>
      </c>
      <c r="V74" s="2" t="s">
        <v>109</v>
      </c>
      <c r="W74" s="2" t="s">
        <v>109</v>
      </c>
      <c r="X74" s="2" t="s">
        <v>111</v>
      </c>
      <c r="Y74" s="2" t="s">
        <v>109</v>
      </c>
      <c r="Z74" s="2" t="s">
        <v>111</v>
      </c>
      <c r="AA74" s="2" t="s">
        <v>111</v>
      </c>
      <c r="AB74" s="2" t="s">
        <v>109</v>
      </c>
      <c r="AC74" s="2" t="s">
        <v>111</v>
      </c>
      <c r="AD74" s="2" t="s">
        <v>111</v>
      </c>
      <c r="AE74" s="2" t="s">
        <v>111</v>
      </c>
      <c r="AF74" s="2" t="s">
        <v>111</v>
      </c>
      <c r="AG74" s="2" t="s">
        <v>109</v>
      </c>
      <c r="AH74" s="3" t="s">
        <v>111</v>
      </c>
      <c r="AI74" s="2" t="s">
        <v>111</v>
      </c>
      <c r="AJ74" s="2" t="s">
        <v>109</v>
      </c>
      <c r="AK74" s="2">
        <v>40</v>
      </c>
      <c r="AL74" s="2">
        <v>40</v>
      </c>
      <c r="AM74" s="2">
        <v>60</v>
      </c>
      <c r="AN74" s="3" t="s">
        <v>111</v>
      </c>
    </row>
    <row r="75" spans="1:133" x14ac:dyDescent="0.2">
      <c r="A75" s="2" t="s">
        <v>216</v>
      </c>
      <c r="B75" s="2" t="s">
        <v>238</v>
      </c>
      <c r="C75" s="2" t="s">
        <v>166</v>
      </c>
      <c r="D75" s="2" t="s">
        <v>109</v>
      </c>
      <c r="E75" s="2" t="s">
        <v>118</v>
      </c>
      <c r="F75" s="3">
        <v>4.5</v>
      </c>
      <c r="G75" s="2" t="s">
        <v>119</v>
      </c>
      <c r="L75" s="2" t="s">
        <v>119</v>
      </c>
      <c r="M75" s="2" t="s">
        <v>109</v>
      </c>
      <c r="N75" s="2" t="s">
        <v>111</v>
      </c>
      <c r="O75" s="2" t="s">
        <v>111</v>
      </c>
      <c r="P75" s="2" t="s">
        <v>109</v>
      </c>
      <c r="Q75" s="2" t="s">
        <v>111</v>
      </c>
      <c r="R75" s="2" t="s">
        <v>111</v>
      </c>
      <c r="S75" s="2" t="s">
        <v>109</v>
      </c>
      <c r="T75" s="2" t="s">
        <v>111</v>
      </c>
      <c r="U75" s="2" t="s">
        <v>111</v>
      </c>
      <c r="V75" s="2" t="s">
        <v>109</v>
      </c>
      <c r="W75" s="2" t="s">
        <v>111</v>
      </c>
      <c r="X75" s="2" t="s">
        <v>111</v>
      </c>
      <c r="Y75" s="2" t="s">
        <v>111</v>
      </c>
      <c r="Z75" s="2" t="s">
        <v>111</v>
      </c>
      <c r="AA75" s="2" t="s">
        <v>109</v>
      </c>
      <c r="AB75" s="2" t="s">
        <v>109</v>
      </c>
      <c r="AC75" s="2" t="s">
        <v>111</v>
      </c>
      <c r="AD75" s="2" t="s">
        <v>111</v>
      </c>
      <c r="AE75" s="2" t="s">
        <v>109</v>
      </c>
      <c r="AF75" s="2" t="s">
        <v>111</v>
      </c>
      <c r="AG75" s="2" t="s">
        <v>111</v>
      </c>
      <c r="AH75" s="3" t="s">
        <v>111</v>
      </c>
      <c r="AI75" s="2" t="s">
        <v>109</v>
      </c>
      <c r="AJ75" s="2" t="s">
        <v>111</v>
      </c>
      <c r="AK75" s="2">
        <v>53</v>
      </c>
      <c r="AL75" s="2">
        <v>29</v>
      </c>
      <c r="AM75" s="2">
        <v>23</v>
      </c>
      <c r="AN75" s="3" t="s">
        <v>109</v>
      </c>
      <c r="AQ75" s="2">
        <v>0</v>
      </c>
      <c r="AR75" s="2">
        <v>100</v>
      </c>
      <c r="AS75" s="2">
        <v>0</v>
      </c>
      <c r="AT75" s="2">
        <v>0</v>
      </c>
    </row>
    <row r="76" spans="1:133" x14ac:dyDescent="0.2">
      <c r="A76" s="2" t="s">
        <v>211</v>
      </c>
      <c r="B76" s="2" t="s">
        <v>236</v>
      </c>
      <c r="C76" s="2" t="s">
        <v>166</v>
      </c>
      <c r="D76" s="2" t="s">
        <v>109</v>
      </c>
      <c r="E76" s="2" t="s">
        <v>120</v>
      </c>
      <c r="F76" s="3">
        <v>3</v>
      </c>
      <c r="G76" s="2" t="s">
        <v>111</v>
      </c>
      <c r="L76" s="2" t="s">
        <v>109</v>
      </c>
      <c r="M76" s="2" t="s">
        <v>109</v>
      </c>
      <c r="N76" s="2" t="s">
        <v>111</v>
      </c>
      <c r="O76" s="2" t="s">
        <v>111</v>
      </c>
      <c r="P76" s="2" t="s">
        <v>109</v>
      </c>
      <c r="Q76" s="2" t="s">
        <v>109</v>
      </c>
      <c r="R76" s="2" t="s">
        <v>111</v>
      </c>
      <c r="S76" s="2" t="s">
        <v>109</v>
      </c>
      <c r="T76" s="2" t="s">
        <v>109</v>
      </c>
      <c r="U76" s="2" t="s">
        <v>111</v>
      </c>
      <c r="V76" s="2" t="s">
        <v>111</v>
      </c>
      <c r="W76" s="2" t="s">
        <v>111</v>
      </c>
      <c r="X76" s="2" t="s">
        <v>109</v>
      </c>
      <c r="Y76" s="2" t="s">
        <v>111</v>
      </c>
      <c r="Z76" s="2" t="s">
        <v>111</v>
      </c>
      <c r="AA76" s="2" t="s">
        <v>109</v>
      </c>
      <c r="AB76" s="2" t="s">
        <v>111</v>
      </c>
      <c r="AC76" s="2" t="s">
        <v>111</v>
      </c>
      <c r="AD76" s="2" t="s">
        <v>109</v>
      </c>
      <c r="AE76" s="2" t="s">
        <v>109</v>
      </c>
      <c r="AF76" s="2" t="s">
        <v>109</v>
      </c>
      <c r="AG76" s="2" t="s">
        <v>111</v>
      </c>
      <c r="AH76" s="3" t="s">
        <v>111</v>
      </c>
      <c r="AI76" s="2" t="s">
        <v>111</v>
      </c>
      <c r="AJ76" s="2" t="s">
        <v>109</v>
      </c>
      <c r="AK76" s="2">
        <v>97</v>
      </c>
      <c r="AL76" s="2">
        <v>26</v>
      </c>
      <c r="AM76" s="2">
        <v>50</v>
      </c>
      <c r="AN76" s="3" t="s">
        <v>109</v>
      </c>
      <c r="AO76" s="2">
        <v>90</v>
      </c>
      <c r="AP76" s="2">
        <v>5</v>
      </c>
      <c r="AQ76" s="2">
        <v>90</v>
      </c>
      <c r="AR76" s="2">
        <v>5</v>
      </c>
      <c r="AS76" s="2">
        <v>1</v>
      </c>
      <c r="AT76" s="2">
        <v>4</v>
      </c>
      <c r="AU76" s="2">
        <v>100</v>
      </c>
      <c r="AY76" s="2">
        <v>21</v>
      </c>
      <c r="BA76" s="2">
        <v>5</v>
      </c>
      <c r="BB76" s="2">
        <v>5</v>
      </c>
      <c r="BC76" s="2">
        <v>10</v>
      </c>
      <c r="BH76" s="2">
        <v>5</v>
      </c>
      <c r="BI76" s="2">
        <v>10</v>
      </c>
      <c r="BU76" s="2">
        <v>4</v>
      </c>
      <c r="BV76" s="2">
        <v>10</v>
      </c>
      <c r="BW76" s="2">
        <v>3</v>
      </c>
      <c r="BX76" s="2">
        <v>1</v>
      </c>
      <c r="BY76" s="2">
        <v>5</v>
      </c>
      <c r="BZ76" s="2">
        <v>7</v>
      </c>
      <c r="CA76" s="2">
        <v>1</v>
      </c>
      <c r="CD76" s="3" t="s">
        <v>109</v>
      </c>
      <c r="CE76" s="2" t="s">
        <v>109</v>
      </c>
      <c r="CF76" s="2" t="s">
        <v>111</v>
      </c>
      <c r="CG76" s="2" t="s">
        <v>111</v>
      </c>
      <c r="CH76" s="2" t="s">
        <v>111</v>
      </c>
      <c r="CI76" s="3" t="s">
        <v>109</v>
      </c>
      <c r="CJ76" s="3" t="s">
        <v>111</v>
      </c>
      <c r="CK76" s="3" t="s">
        <v>111</v>
      </c>
      <c r="CL76" s="3" t="s">
        <v>111</v>
      </c>
      <c r="CM76" s="2">
        <v>30000</v>
      </c>
      <c r="CN76" s="2" t="s">
        <v>117</v>
      </c>
      <c r="CO76" s="3">
        <v>350000</v>
      </c>
      <c r="CP76" s="2">
        <v>0</v>
      </c>
      <c r="CQ76" s="2">
        <v>2016</v>
      </c>
      <c r="CR76" s="2">
        <v>2016</v>
      </c>
      <c r="CS76" s="2">
        <v>10</v>
      </c>
      <c r="CT76" s="2">
        <v>90</v>
      </c>
      <c r="CU76" s="2">
        <v>90</v>
      </c>
      <c r="CV76" s="2">
        <v>10</v>
      </c>
      <c r="CW76" s="2">
        <v>0</v>
      </c>
      <c r="CX76" s="2">
        <v>0</v>
      </c>
      <c r="CY76" s="2">
        <v>0</v>
      </c>
      <c r="CZ76" s="2">
        <v>2</v>
      </c>
      <c r="DA76" s="2">
        <v>91</v>
      </c>
      <c r="DB76" s="2">
        <v>0</v>
      </c>
      <c r="DC76" s="2">
        <v>2</v>
      </c>
      <c r="DD76" s="2">
        <v>5</v>
      </c>
      <c r="DE76" s="2">
        <v>0</v>
      </c>
      <c r="DG76" s="2">
        <v>10</v>
      </c>
      <c r="DH76" s="2">
        <v>20</v>
      </c>
      <c r="DI76" s="2">
        <v>5</v>
      </c>
      <c r="DJ76" s="2">
        <v>40</v>
      </c>
      <c r="DK76" s="2">
        <v>10</v>
      </c>
      <c r="DL76" s="2">
        <v>10</v>
      </c>
      <c r="DM76" s="2">
        <v>0</v>
      </c>
      <c r="DN76" s="2">
        <v>5</v>
      </c>
      <c r="DO76" s="2">
        <v>0</v>
      </c>
      <c r="DQ76" s="2">
        <v>2</v>
      </c>
      <c r="DR76" s="2">
        <v>3</v>
      </c>
      <c r="DS76" s="2">
        <v>2016</v>
      </c>
      <c r="DT76" s="2">
        <v>2016</v>
      </c>
      <c r="DU76" s="3" t="s">
        <v>109</v>
      </c>
      <c r="DV76" s="3" t="s">
        <v>111</v>
      </c>
      <c r="DW76" s="3" t="s">
        <v>111</v>
      </c>
      <c r="DX76" s="3" t="s">
        <v>111</v>
      </c>
      <c r="DY76" s="3" t="s">
        <v>111</v>
      </c>
      <c r="DZ76" s="3" t="s">
        <v>111</v>
      </c>
      <c r="EA76" s="3" t="s">
        <v>111</v>
      </c>
      <c r="EB76" s="3" t="s">
        <v>111</v>
      </c>
    </row>
    <row r="77" spans="1:133" x14ac:dyDescent="0.2">
      <c r="A77" s="8" t="s">
        <v>232</v>
      </c>
      <c r="B77" s="2" t="s">
        <v>237</v>
      </c>
      <c r="C77" s="2" t="s">
        <v>166</v>
      </c>
      <c r="D77" s="2" t="s">
        <v>109</v>
      </c>
    </row>
    <row r="78" spans="1:133" x14ac:dyDescent="0.2">
      <c r="A78" s="2" t="s">
        <v>216</v>
      </c>
      <c r="B78" s="2" t="s">
        <v>238</v>
      </c>
      <c r="C78" s="2" t="s">
        <v>166</v>
      </c>
      <c r="D78" s="2" t="s">
        <v>109</v>
      </c>
      <c r="E78" s="2" t="s">
        <v>122</v>
      </c>
      <c r="F78" s="3">
        <v>0.8</v>
      </c>
      <c r="G78" s="2" t="s">
        <v>119</v>
      </c>
      <c r="L78" s="2" t="s">
        <v>111</v>
      </c>
      <c r="M78" s="2" t="s">
        <v>109</v>
      </c>
      <c r="N78" s="2" t="s">
        <v>111</v>
      </c>
      <c r="O78" s="2" t="s">
        <v>111</v>
      </c>
      <c r="P78" s="2" t="s">
        <v>109</v>
      </c>
      <c r="Q78" s="2" t="s">
        <v>111</v>
      </c>
      <c r="R78" s="2" t="s">
        <v>111</v>
      </c>
      <c r="S78" s="2" t="s">
        <v>111</v>
      </c>
      <c r="T78" s="2" t="s">
        <v>111</v>
      </c>
      <c r="U78" s="2" t="s">
        <v>109</v>
      </c>
      <c r="V78" s="2" t="s">
        <v>109</v>
      </c>
      <c r="W78" s="2" t="s">
        <v>111</v>
      </c>
      <c r="X78" s="2" t="s">
        <v>111</v>
      </c>
      <c r="Y78" s="2" t="s">
        <v>111</v>
      </c>
      <c r="Z78" s="2" t="s">
        <v>111</v>
      </c>
      <c r="AA78" s="2" t="s">
        <v>109</v>
      </c>
      <c r="AB78" s="2" t="s">
        <v>109</v>
      </c>
      <c r="AC78" s="2" t="s">
        <v>111</v>
      </c>
      <c r="AD78" s="2" t="s">
        <v>111</v>
      </c>
      <c r="AE78" s="2" t="s">
        <v>111</v>
      </c>
      <c r="AF78" s="2" t="s">
        <v>111</v>
      </c>
      <c r="AG78" s="2" t="s">
        <v>109</v>
      </c>
      <c r="AH78" s="3" t="s">
        <v>111</v>
      </c>
      <c r="AI78" s="2" t="s">
        <v>111</v>
      </c>
      <c r="AJ78" s="2" t="s">
        <v>109</v>
      </c>
      <c r="AK78" s="2">
        <v>85</v>
      </c>
      <c r="AN78" s="3" t="s">
        <v>111</v>
      </c>
    </row>
    <row r="79" spans="1:133" x14ac:dyDescent="0.2">
      <c r="A79" s="8" t="s">
        <v>226</v>
      </c>
      <c r="B79" s="2" t="s">
        <v>238</v>
      </c>
      <c r="C79" s="2" t="s">
        <v>166</v>
      </c>
      <c r="D79" s="2" t="s">
        <v>109</v>
      </c>
      <c r="E79" s="2" t="s">
        <v>116</v>
      </c>
      <c r="F79" s="3">
        <v>24</v>
      </c>
      <c r="G79" s="2" t="s">
        <v>109</v>
      </c>
      <c r="H79" s="2" t="s">
        <v>109</v>
      </c>
      <c r="I79" s="2" t="s">
        <v>109</v>
      </c>
      <c r="J79" s="2" t="s">
        <v>109</v>
      </c>
      <c r="K79" s="2" t="s">
        <v>109</v>
      </c>
      <c r="L79" s="2" t="s">
        <v>111</v>
      </c>
      <c r="M79" s="2" t="s">
        <v>109</v>
      </c>
      <c r="N79" s="2" t="s">
        <v>111</v>
      </c>
      <c r="O79" s="2" t="s">
        <v>111</v>
      </c>
      <c r="P79" s="2" t="s">
        <v>109</v>
      </c>
      <c r="Q79" s="2" t="s">
        <v>111</v>
      </c>
      <c r="R79" s="2" t="s">
        <v>111</v>
      </c>
      <c r="S79" s="2" t="s">
        <v>109</v>
      </c>
      <c r="T79" s="2" t="s">
        <v>109</v>
      </c>
      <c r="U79" s="2" t="s">
        <v>111</v>
      </c>
      <c r="V79" s="2" t="s">
        <v>109</v>
      </c>
      <c r="W79" s="2" t="s">
        <v>111</v>
      </c>
      <c r="X79" s="2" t="s">
        <v>111</v>
      </c>
      <c r="Y79" s="2" t="s">
        <v>109</v>
      </c>
      <c r="Z79" s="2" t="s">
        <v>111</v>
      </c>
      <c r="AA79" s="2" t="s">
        <v>111</v>
      </c>
      <c r="AB79" s="2" t="s">
        <v>109</v>
      </c>
      <c r="AC79" s="2" t="s">
        <v>111</v>
      </c>
      <c r="AD79" s="2" t="s">
        <v>111</v>
      </c>
      <c r="AE79" s="2" t="s">
        <v>111</v>
      </c>
      <c r="AF79" s="2" t="s">
        <v>109</v>
      </c>
      <c r="AG79" s="2" t="s">
        <v>111</v>
      </c>
      <c r="AH79" s="3" t="s">
        <v>111</v>
      </c>
      <c r="AI79" s="2" t="s">
        <v>109</v>
      </c>
      <c r="AJ79" s="2" t="s">
        <v>111</v>
      </c>
      <c r="AK79" s="2">
        <v>70</v>
      </c>
      <c r="AL79" s="2">
        <v>70</v>
      </c>
      <c r="AM79" s="2">
        <v>30</v>
      </c>
      <c r="AN79" s="3" t="s">
        <v>109</v>
      </c>
      <c r="AO79" s="2">
        <v>5</v>
      </c>
      <c r="AP79" s="2">
        <v>5</v>
      </c>
      <c r="AQ79" s="2">
        <v>70</v>
      </c>
      <c r="AR79" s="2">
        <v>20</v>
      </c>
      <c r="AS79" s="2">
        <v>0</v>
      </c>
      <c r="AT79" s="2">
        <v>10</v>
      </c>
      <c r="AU79" s="2">
        <v>90</v>
      </c>
      <c r="AV79" s="2">
        <v>10</v>
      </c>
      <c r="AW79" s="2">
        <v>0</v>
      </c>
      <c r="AX79" s="2">
        <v>0</v>
      </c>
      <c r="AY79" s="2">
        <v>90</v>
      </c>
      <c r="BA79" s="2">
        <v>10</v>
      </c>
      <c r="BB79" s="2">
        <v>10</v>
      </c>
      <c r="BC79" s="2">
        <v>10</v>
      </c>
      <c r="BU79" s="2">
        <v>10</v>
      </c>
      <c r="BV79" s="2">
        <v>1</v>
      </c>
      <c r="BW79" s="2">
        <v>8</v>
      </c>
      <c r="BX79" s="2">
        <v>1</v>
      </c>
      <c r="BY79" s="2">
        <v>8</v>
      </c>
      <c r="BZ79" s="2">
        <v>6</v>
      </c>
      <c r="CA79" s="2">
        <v>1</v>
      </c>
      <c r="CB79" s="2">
        <v>1</v>
      </c>
      <c r="CD79" s="3" t="s">
        <v>111</v>
      </c>
      <c r="CN79" s="2" t="s">
        <v>117</v>
      </c>
      <c r="CO79" s="3">
        <v>0</v>
      </c>
      <c r="CP79" s="2">
        <v>0</v>
      </c>
      <c r="CQ79" s="2">
        <v>2017</v>
      </c>
      <c r="CR79" s="2">
        <v>2017</v>
      </c>
      <c r="DQ79" s="2">
        <v>1</v>
      </c>
      <c r="DR79" s="2">
        <v>5</v>
      </c>
      <c r="DS79" s="2">
        <v>2017</v>
      </c>
      <c r="DT79" s="2">
        <v>2017</v>
      </c>
      <c r="DU79" s="3" t="s">
        <v>111</v>
      </c>
      <c r="DV79" s="3" t="s">
        <v>111</v>
      </c>
      <c r="DW79" s="3" t="s">
        <v>111</v>
      </c>
      <c r="DX79" s="3" t="s">
        <v>109</v>
      </c>
      <c r="DY79" s="3" t="s">
        <v>111</v>
      </c>
      <c r="DZ79" s="3" t="s">
        <v>111</v>
      </c>
      <c r="EA79" s="3" t="s">
        <v>111</v>
      </c>
      <c r="EB79" s="3" t="s">
        <v>111</v>
      </c>
      <c r="EC79" s="3" t="s">
        <v>111</v>
      </c>
    </row>
    <row r="80" spans="1:133" x14ac:dyDescent="0.2">
      <c r="A80" s="8" t="s">
        <v>224</v>
      </c>
      <c r="B80" s="2" t="s">
        <v>238</v>
      </c>
      <c r="C80" s="2" t="s">
        <v>166</v>
      </c>
      <c r="D80" s="2" t="s">
        <v>109</v>
      </c>
      <c r="E80" s="2" t="s">
        <v>116</v>
      </c>
      <c r="F80" s="3">
        <v>28</v>
      </c>
      <c r="G80" s="2" t="s">
        <v>109</v>
      </c>
      <c r="H80" s="2" t="s">
        <v>109</v>
      </c>
      <c r="I80" s="2" t="s">
        <v>111</v>
      </c>
      <c r="J80" s="2" t="s">
        <v>109</v>
      </c>
      <c r="K80" s="2" t="s">
        <v>109</v>
      </c>
      <c r="L80" s="2" t="s">
        <v>109</v>
      </c>
      <c r="M80" s="2" t="s">
        <v>109</v>
      </c>
      <c r="N80" s="2" t="s">
        <v>109</v>
      </c>
      <c r="O80" s="2" t="s">
        <v>111</v>
      </c>
      <c r="P80" s="2" t="s">
        <v>109</v>
      </c>
      <c r="Q80" s="2" t="s">
        <v>109</v>
      </c>
      <c r="R80" s="2" t="s">
        <v>111</v>
      </c>
      <c r="S80" s="2" t="s">
        <v>109</v>
      </c>
      <c r="T80" s="2" t="s">
        <v>109</v>
      </c>
      <c r="U80" s="2" t="s">
        <v>111</v>
      </c>
      <c r="V80" s="2" t="s">
        <v>109</v>
      </c>
      <c r="W80" s="2" t="s">
        <v>111</v>
      </c>
      <c r="X80" s="2" t="s">
        <v>111</v>
      </c>
      <c r="Y80" s="2" t="s">
        <v>109</v>
      </c>
      <c r="Z80" s="2" t="s">
        <v>111</v>
      </c>
      <c r="AA80" s="2" t="s">
        <v>111</v>
      </c>
      <c r="AB80" s="2" t="s">
        <v>109</v>
      </c>
      <c r="AC80" s="2" t="s">
        <v>109</v>
      </c>
      <c r="AD80" s="2" t="s">
        <v>111</v>
      </c>
      <c r="AE80" s="2" t="s">
        <v>109</v>
      </c>
      <c r="AF80" s="2" t="s">
        <v>109</v>
      </c>
      <c r="AG80" s="2" t="s">
        <v>111</v>
      </c>
      <c r="AH80" s="3" t="s">
        <v>111</v>
      </c>
      <c r="AI80" s="2" t="s">
        <v>109</v>
      </c>
      <c r="AJ80" s="2" t="s">
        <v>111</v>
      </c>
      <c r="AK80" s="2">
        <v>85</v>
      </c>
      <c r="AL80" s="2">
        <v>50</v>
      </c>
      <c r="AM80" s="2">
        <v>10</v>
      </c>
      <c r="AN80" s="3" t="s">
        <v>109</v>
      </c>
    </row>
    <row r="81" spans="1:133" x14ac:dyDescent="0.2">
      <c r="A81" s="8" t="s">
        <v>224</v>
      </c>
      <c r="B81" s="2" t="s">
        <v>238</v>
      </c>
      <c r="C81" s="2" t="s">
        <v>166</v>
      </c>
      <c r="D81" s="2" t="s">
        <v>109</v>
      </c>
      <c r="E81" s="2" t="s">
        <v>110</v>
      </c>
      <c r="F81" s="3">
        <v>3.5</v>
      </c>
      <c r="G81" s="2" t="s">
        <v>109</v>
      </c>
      <c r="H81" s="2" t="s">
        <v>109</v>
      </c>
      <c r="I81" s="2" t="s">
        <v>109</v>
      </c>
      <c r="J81" s="2" t="s">
        <v>109</v>
      </c>
      <c r="K81" s="2" t="s">
        <v>111</v>
      </c>
      <c r="L81" s="2" t="s">
        <v>111</v>
      </c>
      <c r="M81" s="2" t="s">
        <v>109</v>
      </c>
      <c r="N81" s="2" t="s">
        <v>111</v>
      </c>
      <c r="O81" s="2" t="s">
        <v>111</v>
      </c>
      <c r="P81" s="2" t="s">
        <v>109</v>
      </c>
      <c r="Q81" s="2" t="s">
        <v>109</v>
      </c>
      <c r="R81" s="2" t="s">
        <v>111</v>
      </c>
      <c r="S81" s="2" t="s">
        <v>109</v>
      </c>
      <c r="T81" s="2" t="s">
        <v>109</v>
      </c>
      <c r="U81" s="2" t="s">
        <v>111</v>
      </c>
      <c r="V81" s="2" t="s">
        <v>109</v>
      </c>
      <c r="W81" s="2" t="s">
        <v>109</v>
      </c>
      <c r="X81" s="2" t="s">
        <v>111</v>
      </c>
      <c r="Y81" s="2" t="s">
        <v>109</v>
      </c>
      <c r="Z81" s="2" t="s">
        <v>109</v>
      </c>
      <c r="AA81" s="2" t="s">
        <v>111</v>
      </c>
      <c r="AB81" s="2" t="s">
        <v>109</v>
      </c>
      <c r="AC81" s="2" t="s">
        <v>109</v>
      </c>
      <c r="AD81" s="2" t="s">
        <v>111</v>
      </c>
      <c r="AE81" s="2" t="s">
        <v>109</v>
      </c>
      <c r="AF81" s="2" t="s">
        <v>109</v>
      </c>
      <c r="AG81" s="2" t="s">
        <v>111</v>
      </c>
      <c r="AK81" s="2">
        <v>60</v>
      </c>
      <c r="AL81" s="2">
        <v>60</v>
      </c>
      <c r="AM81" s="2">
        <v>40</v>
      </c>
      <c r="AN81" s="3" t="s">
        <v>109</v>
      </c>
      <c r="AO81" s="2">
        <v>3</v>
      </c>
      <c r="AP81" s="2">
        <v>3</v>
      </c>
      <c r="AY81" s="2">
        <v>90</v>
      </c>
      <c r="AZ81" s="2">
        <v>30</v>
      </c>
      <c r="BB81" s="2">
        <v>2</v>
      </c>
      <c r="BC81" s="2">
        <v>10</v>
      </c>
      <c r="BD81" s="2">
        <v>2</v>
      </c>
      <c r="BE81" s="2">
        <v>10</v>
      </c>
      <c r="BU81" s="2">
        <v>4</v>
      </c>
      <c r="BV81" s="2">
        <v>4</v>
      </c>
      <c r="BW81" s="2">
        <v>5</v>
      </c>
      <c r="BX81" s="2">
        <v>4</v>
      </c>
      <c r="BY81" s="2">
        <v>8</v>
      </c>
      <c r="BZ81" s="2">
        <v>9</v>
      </c>
      <c r="CA81" s="2">
        <v>8</v>
      </c>
      <c r="CD81" s="3" t="s">
        <v>111</v>
      </c>
      <c r="CN81" s="2" t="s">
        <v>119</v>
      </c>
      <c r="DQ81" s="2">
        <v>2</v>
      </c>
      <c r="DR81" s="2">
        <v>2</v>
      </c>
      <c r="DU81" s="3" t="s">
        <v>109</v>
      </c>
      <c r="DV81" s="3" t="s">
        <v>111</v>
      </c>
      <c r="DW81" s="3" t="s">
        <v>111</v>
      </c>
      <c r="DX81" s="3" t="s">
        <v>111</v>
      </c>
      <c r="DY81" s="3" t="s">
        <v>111</v>
      </c>
      <c r="DZ81" s="3" t="s">
        <v>111</v>
      </c>
      <c r="EA81" s="3" t="s">
        <v>111</v>
      </c>
      <c r="EB81" s="3" t="s">
        <v>111</v>
      </c>
    </row>
    <row r="82" spans="1:133" x14ac:dyDescent="0.2">
      <c r="A82" s="2" t="s">
        <v>211</v>
      </c>
      <c r="B82" s="2" t="s">
        <v>236</v>
      </c>
      <c r="C82" s="2" t="s">
        <v>166</v>
      </c>
      <c r="D82" s="2" t="s">
        <v>109</v>
      </c>
    </row>
    <row r="83" spans="1:133" x14ac:dyDescent="0.2">
      <c r="A83" s="8" t="s">
        <v>224</v>
      </c>
      <c r="B83" s="2" t="s">
        <v>238</v>
      </c>
      <c r="C83" s="2" t="s">
        <v>166</v>
      </c>
      <c r="D83" s="2" t="s">
        <v>109</v>
      </c>
      <c r="E83" s="2" t="s">
        <v>120</v>
      </c>
      <c r="F83" s="3">
        <v>1.9</v>
      </c>
      <c r="G83" s="2" t="s">
        <v>111</v>
      </c>
      <c r="L83" s="2" t="s">
        <v>111</v>
      </c>
      <c r="M83" s="2" t="s">
        <v>109</v>
      </c>
      <c r="N83" s="2" t="s">
        <v>111</v>
      </c>
      <c r="O83" s="2" t="s">
        <v>111</v>
      </c>
      <c r="P83" s="2" t="s">
        <v>109</v>
      </c>
      <c r="Q83" s="2" t="s">
        <v>111</v>
      </c>
      <c r="R83" s="2" t="s">
        <v>111</v>
      </c>
      <c r="S83" s="2" t="s">
        <v>111</v>
      </c>
      <c r="T83" s="2" t="s">
        <v>111</v>
      </c>
      <c r="U83" s="2" t="s">
        <v>109</v>
      </c>
      <c r="V83" s="2" t="s">
        <v>109</v>
      </c>
      <c r="W83" s="2" t="s">
        <v>109</v>
      </c>
      <c r="X83" s="2" t="s">
        <v>111</v>
      </c>
      <c r="Y83" s="2" t="s">
        <v>109</v>
      </c>
      <c r="Z83" s="2" t="s">
        <v>109</v>
      </c>
      <c r="AA83" s="2" t="s">
        <v>111</v>
      </c>
      <c r="AB83" s="2" t="s">
        <v>111</v>
      </c>
      <c r="AC83" s="2" t="s">
        <v>111</v>
      </c>
      <c r="AD83" s="2" t="s">
        <v>109</v>
      </c>
      <c r="AE83" s="2" t="s">
        <v>109</v>
      </c>
      <c r="AF83" s="2" t="s">
        <v>109</v>
      </c>
      <c r="AG83" s="2" t="s">
        <v>111</v>
      </c>
      <c r="AH83" s="3" t="s">
        <v>111</v>
      </c>
      <c r="AI83" s="2" t="s">
        <v>111</v>
      </c>
      <c r="AJ83" s="2" t="s">
        <v>109</v>
      </c>
      <c r="AK83" s="2">
        <v>81</v>
      </c>
      <c r="AL83" s="2">
        <v>63</v>
      </c>
      <c r="AM83" s="2">
        <v>37</v>
      </c>
      <c r="AN83" s="3" t="s">
        <v>109</v>
      </c>
      <c r="AO83" s="2">
        <v>0</v>
      </c>
      <c r="AP83" s="2">
        <v>2</v>
      </c>
      <c r="AQ83" s="2">
        <v>20</v>
      </c>
      <c r="AR83" s="2">
        <v>70</v>
      </c>
      <c r="AS83" s="2">
        <v>10</v>
      </c>
      <c r="AU83" s="2">
        <v>100</v>
      </c>
      <c r="AY83" s="2">
        <v>99</v>
      </c>
      <c r="BA83" s="2">
        <v>1</v>
      </c>
      <c r="BB83" s="2">
        <v>1</v>
      </c>
      <c r="BC83" s="2">
        <v>5</v>
      </c>
      <c r="BG83" s="2">
        <v>6</v>
      </c>
      <c r="BJ83" s="2">
        <v>1</v>
      </c>
      <c r="BK83" s="2">
        <v>1</v>
      </c>
      <c r="BU83" s="2">
        <v>10</v>
      </c>
      <c r="BV83" s="2">
        <v>8</v>
      </c>
      <c r="BW83" s="2">
        <v>10</v>
      </c>
      <c r="BX83" s="2">
        <v>3</v>
      </c>
      <c r="BY83" s="2">
        <v>7</v>
      </c>
      <c r="BZ83" s="2">
        <v>10</v>
      </c>
      <c r="CA83" s="2">
        <v>7</v>
      </c>
      <c r="CD83" s="3" t="s">
        <v>111</v>
      </c>
      <c r="CN83" s="2" t="s">
        <v>117</v>
      </c>
      <c r="CO83" s="3">
        <v>8000</v>
      </c>
      <c r="CP83" s="2">
        <v>23000</v>
      </c>
      <c r="CQ83" s="2">
        <v>2017</v>
      </c>
      <c r="CR83" s="2">
        <v>2016</v>
      </c>
      <c r="CS83" s="2">
        <v>30</v>
      </c>
      <c r="CT83" s="2">
        <v>70</v>
      </c>
      <c r="CU83" s="2">
        <v>40</v>
      </c>
      <c r="CV83" s="2">
        <v>60</v>
      </c>
      <c r="CW83" s="2">
        <v>5</v>
      </c>
      <c r="CX83" s="2">
        <v>5</v>
      </c>
      <c r="CY83" s="2">
        <v>5</v>
      </c>
      <c r="CZ83" s="2">
        <v>10</v>
      </c>
      <c r="DA83" s="2">
        <v>40</v>
      </c>
      <c r="DB83" s="2">
        <v>0</v>
      </c>
      <c r="DC83" s="2">
        <v>30</v>
      </c>
      <c r="DD83" s="2">
        <v>5</v>
      </c>
      <c r="DE83" s="2">
        <v>0</v>
      </c>
      <c r="DG83" s="2">
        <v>5</v>
      </c>
      <c r="DH83" s="2">
        <v>20</v>
      </c>
      <c r="DI83" s="2">
        <v>10</v>
      </c>
      <c r="DJ83" s="2">
        <v>5</v>
      </c>
      <c r="DK83" s="2">
        <v>5</v>
      </c>
      <c r="DL83" s="2">
        <v>10</v>
      </c>
      <c r="DM83" s="2">
        <v>5</v>
      </c>
      <c r="DN83" s="2">
        <v>40</v>
      </c>
      <c r="DO83" s="2">
        <v>0</v>
      </c>
      <c r="DQ83" s="3">
        <v>0.9</v>
      </c>
      <c r="DR83" s="2">
        <v>0</v>
      </c>
      <c r="DS83" s="2">
        <v>2016</v>
      </c>
      <c r="DT83" s="2">
        <v>2016</v>
      </c>
      <c r="DU83" s="3" t="s">
        <v>109</v>
      </c>
      <c r="DV83" s="3" t="s">
        <v>111</v>
      </c>
      <c r="DW83" s="3" t="s">
        <v>111</v>
      </c>
      <c r="DX83" s="3" t="s">
        <v>109</v>
      </c>
      <c r="DY83" s="3" t="s">
        <v>111</v>
      </c>
      <c r="DZ83" s="3" t="s">
        <v>111</v>
      </c>
      <c r="EA83" s="3" t="s">
        <v>111</v>
      </c>
      <c r="EB83" s="3" t="s">
        <v>111</v>
      </c>
      <c r="EC83" s="3" t="s">
        <v>111</v>
      </c>
    </row>
    <row r="84" spans="1:133" x14ac:dyDescent="0.2">
      <c r="A84" s="8" t="s">
        <v>224</v>
      </c>
      <c r="B84" s="2" t="s">
        <v>238</v>
      </c>
      <c r="C84" s="2" t="s">
        <v>166</v>
      </c>
      <c r="D84" s="2" t="s">
        <v>109</v>
      </c>
      <c r="E84" s="2" t="s">
        <v>122</v>
      </c>
      <c r="F84" s="3">
        <v>0</v>
      </c>
      <c r="G84" s="2" t="s">
        <v>109</v>
      </c>
      <c r="H84" s="2" t="s">
        <v>109</v>
      </c>
      <c r="I84" s="2" t="s">
        <v>111</v>
      </c>
      <c r="J84" s="2" t="s">
        <v>109</v>
      </c>
      <c r="K84" s="2" t="s">
        <v>111</v>
      </c>
      <c r="L84" s="2" t="s">
        <v>109</v>
      </c>
      <c r="M84" s="2" t="s">
        <v>109</v>
      </c>
      <c r="N84" s="2" t="s">
        <v>111</v>
      </c>
      <c r="O84" s="2" t="s">
        <v>111</v>
      </c>
      <c r="P84" s="2" t="s">
        <v>109</v>
      </c>
      <c r="Q84" s="2" t="s">
        <v>109</v>
      </c>
      <c r="R84" s="2" t="s">
        <v>111</v>
      </c>
      <c r="S84" s="2" t="s">
        <v>109</v>
      </c>
      <c r="T84" s="2" t="s">
        <v>111</v>
      </c>
      <c r="U84" s="2" t="s">
        <v>111</v>
      </c>
      <c r="V84" s="2" t="s">
        <v>109</v>
      </c>
      <c r="W84" s="2" t="s">
        <v>111</v>
      </c>
      <c r="X84" s="2" t="s">
        <v>111</v>
      </c>
      <c r="Y84" s="2" t="s">
        <v>111</v>
      </c>
      <c r="Z84" s="2" t="s">
        <v>111</v>
      </c>
      <c r="AA84" s="2" t="s">
        <v>109</v>
      </c>
      <c r="AB84" s="2" t="s">
        <v>111</v>
      </c>
      <c r="AC84" s="2" t="s">
        <v>111</v>
      </c>
      <c r="AD84" s="2" t="s">
        <v>109</v>
      </c>
      <c r="AE84" s="2" t="s">
        <v>111</v>
      </c>
      <c r="AF84" s="2" t="s">
        <v>111</v>
      </c>
      <c r="AG84" s="2" t="s">
        <v>109</v>
      </c>
      <c r="AH84" s="3" t="s">
        <v>111</v>
      </c>
      <c r="AI84" s="2" t="s">
        <v>111</v>
      </c>
      <c r="AJ84" s="2" t="s">
        <v>109</v>
      </c>
      <c r="AK84" s="2">
        <v>97</v>
      </c>
      <c r="AL84" s="2">
        <v>97</v>
      </c>
      <c r="AM84" s="2">
        <v>3</v>
      </c>
      <c r="AN84" s="3" t="s">
        <v>109</v>
      </c>
      <c r="AO84" s="2">
        <v>100</v>
      </c>
      <c r="AP84" s="2">
        <v>50</v>
      </c>
      <c r="AR84" s="2">
        <v>100</v>
      </c>
      <c r="AV84" s="2">
        <v>100</v>
      </c>
      <c r="AY84" s="2">
        <v>3</v>
      </c>
      <c r="BA84" s="2">
        <v>97</v>
      </c>
      <c r="BB84" s="2">
        <v>97</v>
      </c>
      <c r="BC84" s="2">
        <v>100</v>
      </c>
      <c r="BD84" s="2">
        <v>1</v>
      </c>
      <c r="BE84" s="2">
        <v>1</v>
      </c>
      <c r="BF84" s="2">
        <v>1</v>
      </c>
      <c r="BG84" s="2">
        <v>1</v>
      </c>
      <c r="BU84" s="2">
        <v>10</v>
      </c>
      <c r="BV84" s="2">
        <v>8</v>
      </c>
      <c r="BW84" s="2">
        <v>5</v>
      </c>
      <c r="BX84" s="2">
        <v>1</v>
      </c>
      <c r="BY84" s="2">
        <v>9</v>
      </c>
      <c r="BZ84" s="2">
        <v>8</v>
      </c>
      <c r="CA84" s="2">
        <v>1</v>
      </c>
      <c r="CD84" s="3" t="s">
        <v>111</v>
      </c>
      <c r="CN84" s="2" t="s">
        <v>119</v>
      </c>
      <c r="CO84" s="3">
        <v>5000</v>
      </c>
      <c r="CP84" s="2">
        <v>12000</v>
      </c>
      <c r="CQ84" s="2">
        <v>2016</v>
      </c>
      <c r="CR84" s="2">
        <v>2017</v>
      </c>
      <c r="CS84" s="2">
        <v>80</v>
      </c>
      <c r="CT84" s="2">
        <v>20</v>
      </c>
      <c r="CU84" s="2">
        <v>70</v>
      </c>
      <c r="CV84" s="2">
        <v>30</v>
      </c>
      <c r="CW84" s="2">
        <v>0</v>
      </c>
      <c r="CX84" s="2">
        <v>0</v>
      </c>
      <c r="CY84" s="2">
        <v>0</v>
      </c>
      <c r="CZ84" s="2">
        <v>0</v>
      </c>
      <c r="DA84" s="2">
        <v>0</v>
      </c>
      <c r="DB84" s="2">
        <v>0</v>
      </c>
      <c r="DC84" s="2">
        <v>0</v>
      </c>
      <c r="DD84" s="2">
        <v>100</v>
      </c>
      <c r="DE84" s="2">
        <v>0</v>
      </c>
      <c r="DG84" s="2">
        <v>0</v>
      </c>
      <c r="DH84" s="2">
        <v>5</v>
      </c>
      <c r="DI84" s="2">
        <v>0</v>
      </c>
      <c r="DJ84" s="2">
        <v>0</v>
      </c>
      <c r="DK84" s="2">
        <v>95</v>
      </c>
      <c r="DL84" s="2">
        <v>0</v>
      </c>
      <c r="DM84" s="2">
        <v>0</v>
      </c>
      <c r="DN84" s="2">
        <v>0</v>
      </c>
      <c r="DO84" s="2">
        <v>0</v>
      </c>
      <c r="DQ84" s="2">
        <v>0</v>
      </c>
      <c r="DR84" s="2">
        <v>3</v>
      </c>
      <c r="DS84" s="2">
        <v>2016</v>
      </c>
      <c r="DT84" s="2">
        <v>2016</v>
      </c>
      <c r="DU84" s="3" t="s">
        <v>111</v>
      </c>
      <c r="DV84" s="3" t="s">
        <v>111</v>
      </c>
      <c r="DW84" s="3" t="s">
        <v>109</v>
      </c>
      <c r="DX84" s="3" t="s">
        <v>111</v>
      </c>
      <c r="DY84" s="3" t="s">
        <v>109</v>
      </c>
      <c r="DZ84" s="3" t="s">
        <v>111</v>
      </c>
      <c r="EA84" s="3" t="s">
        <v>111</v>
      </c>
      <c r="EB84" s="3" t="s">
        <v>111</v>
      </c>
      <c r="EC84" s="3" t="s">
        <v>111</v>
      </c>
    </row>
    <row r="85" spans="1:133" x14ac:dyDescent="0.2">
      <c r="A85" s="2" t="s">
        <v>231</v>
      </c>
      <c r="B85" s="2" t="s">
        <v>238</v>
      </c>
      <c r="C85" s="2" t="s">
        <v>166</v>
      </c>
      <c r="D85" s="2" t="s">
        <v>109</v>
      </c>
      <c r="E85" s="2" t="s">
        <v>116</v>
      </c>
      <c r="F85" s="3">
        <v>45</v>
      </c>
      <c r="G85" s="2" t="s">
        <v>109</v>
      </c>
      <c r="H85" s="2" t="s">
        <v>109</v>
      </c>
      <c r="I85" s="2" t="s">
        <v>111</v>
      </c>
      <c r="J85" s="2" t="s">
        <v>109</v>
      </c>
      <c r="K85" s="2" t="s">
        <v>111</v>
      </c>
      <c r="L85" s="2" t="s">
        <v>109</v>
      </c>
      <c r="M85" s="2" t="s">
        <v>109</v>
      </c>
      <c r="N85" s="2" t="s">
        <v>109</v>
      </c>
      <c r="O85" s="2" t="s">
        <v>111</v>
      </c>
      <c r="P85" s="2" t="s">
        <v>109</v>
      </c>
      <c r="Q85" s="2" t="s">
        <v>109</v>
      </c>
      <c r="R85" s="2" t="s">
        <v>111</v>
      </c>
      <c r="S85" s="2" t="s">
        <v>109</v>
      </c>
      <c r="T85" s="2" t="s">
        <v>111</v>
      </c>
      <c r="U85" s="2" t="s">
        <v>111</v>
      </c>
      <c r="V85" s="2" t="s">
        <v>109</v>
      </c>
      <c r="W85" s="2" t="s">
        <v>111</v>
      </c>
      <c r="X85" s="2" t="s">
        <v>111</v>
      </c>
      <c r="Y85" s="2" t="s">
        <v>111</v>
      </c>
      <c r="Z85" s="2" t="s">
        <v>111</v>
      </c>
      <c r="AA85" s="2" t="s">
        <v>109</v>
      </c>
      <c r="AB85" s="2" t="s">
        <v>109</v>
      </c>
      <c r="AC85" s="2" t="s">
        <v>111</v>
      </c>
      <c r="AD85" s="2" t="s">
        <v>111</v>
      </c>
      <c r="AE85" s="2" t="s">
        <v>109</v>
      </c>
      <c r="AF85" s="2" t="s">
        <v>109</v>
      </c>
      <c r="AG85" s="2" t="s">
        <v>111</v>
      </c>
      <c r="AH85" s="3" t="s">
        <v>111</v>
      </c>
      <c r="AI85" s="2" t="s">
        <v>109</v>
      </c>
      <c r="AJ85" s="2" t="s">
        <v>111</v>
      </c>
      <c r="AK85" s="2">
        <v>95</v>
      </c>
      <c r="AL85" s="2">
        <v>75</v>
      </c>
      <c r="AM85" s="2">
        <v>25</v>
      </c>
      <c r="AN85" s="3" t="s">
        <v>109</v>
      </c>
      <c r="AO85" s="2">
        <v>100</v>
      </c>
      <c r="AP85" s="2">
        <v>70</v>
      </c>
      <c r="AQ85" s="2">
        <v>40</v>
      </c>
      <c r="AR85" s="2">
        <v>30</v>
      </c>
      <c r="AS85" s="2">
        <v>20</v>
      </c>
      <c r="AT85" s="2">
        <v>10</v>
      </c>
      <c r="AU85" s="2">
        <v>80</v>
      </c>
      <c r="AV85" s="2">
        <v>0</v>
      </c>
      <c r="AW85" s="2">
        <v>0</v>
      </c>
      <c r="AX85" s="2">
        <v>20</v>
      </c>
      <c r="AY85" s="2">
        <v>100</v>
      </c>
      <c r="AZ85" s="2">
        <v>40</v>
      </c>
      <c r="BA85" s="2">
        <v>10</v>
      </c>
      <c r="BB85" s="2">
        <v>20</v>
      </c>
      <c r="BT85" s="2" t="s">
        <v>147</v>
      </c>
      <c r="BU85" s="2">
        <v>9</v>
      </c>
      <c r="BW85" s="2">
        <v>8</v>
      </c>
      <c r="BX85" s="2">
        <v>8</v>
      </c>
      <c r="BZ85" s="2">
        <v>9</v>
      </c>
      <c r="CA85" s="2">
        <v>6</v>
      </c>
      <c r="CD85" s="3" t="s">
        <v>111</v>
      </c>
      <c r="CN85" s="2" t="s">
        <v>117</v>
      </c>
      <c r="CS85" s="2">
        <v>5</v>
      </c>
      <c r="CT85" s="2">
        <v>95</v>
      </c>
      <c r="CU85" s="2">
        <v>80</v>
      </c>
      <c r="CV85" s="2">
        <v>20</v>
      </c>
    </row>
    <row r="86" spans="1:133" s="3" customFormat="1" x14ac:dyDescent="0.2">
      <c r="A86" s="3" t="s">
        <v>211</v>
      </c>
      <c r="B86" s="3" t="s">
        <v>236</v>
      </c>
      <c r="C86" s="3" t="s">
        <v>166</v>
      </c>
      <c r="D86" s="3" t="s">
        <v>109</v>
      </c>
      <c r="E86" s="3" t="s">
        <v>110</v>
      </c>
      <c r="F86" s="3">
        <v>0.8</v>
      </c>
      <c r="G86" s="3" t="s">
        <v>111</v>
      </c>
      <c r="L86" s="3" t="s">
        <v>109</v>
      </c>
      <c r="M86" s="3" t="s">
        <v>109</v>
      </c>
      <c r="N86" s="3" t="s">
        <v>109</v>
      </c>
      <c r="O86" s="3" t="s">
        <v>111</v>
      </c>
      <c r="P86" s="3" t="s">
        <v>109</v>
      </c>
      <c r="Q86" s="3" t="s">
        <v>109</v>
      </c>
      <c r="R86" s="3" t="s">
        <v>111</v>
      </c>
      <c r="S86" s="3" t="s">
        <v>109</v>
      </c>
      <c r="T86" s="3" t="s">
        <v>111</v>
      </c>
      <c r="U86" s="3" t="s">
        <v>111</v>
      </c>
      <c r="V86" s="3" t="s">
        <v>109</v>
      </c>
      <c r="W86" s="3" t="s">
        <v>111</v>
      </c>
      <c r="X86" s="3" t="s">
        <v>111</v>
      </c>
      <c r="Y86" s="3" t="s">
        <v>111</v>
      </c>
      <c r="Z86" s="3" t="s">
        <v>111</v>
      </c>
      <c r="AA86" s="3" t="s">
        <v>109</v>
      </c>
      <c r="AB86" s="3" t="s">
        <v>111</v>
      </c>
      <c r="AC86" s="3" t="s">
        <v>111</v>
      </c>
      <c r="AD86" s="3" t="s">
        <v>109</v>
      </c>
      <c r="AE86" s="3" t="s">
        <v>109</v>
      </c>
      <c r="AF86" s="3" t="s">
        <v>109</v>
      </c>
      <c r="AG86" s="3" t="s">
        <v>111</v>
      </c>
      <c r="AH86" s="3" t="s">
        <v>111</v>
      </c>
      <c r="AI86" s="3" t="s">
        <v>109</v>
      </c>
      <c r="AJ86" s="3" t="s">
        <v>111</v>
      </c>
      <c r="AK86" s="3">
        <v>5</v>
      </c>
      <c r="AL86" s="3">
        <v>10</v>
      </c>
      <c r="AM86" s="3">
        <v>90</v>
      </c>
      <c r="AN86" s="3" t="s">
        <v>109</v>
      </c>
    </row>
    <row r="87" spans="1:133" s="3" customFormat="1" x14ac:dyDescent="0.2">
      <c r="A87" s="84" t="s">
        <v>224</v>
      </c>
      <c r="B87" s="3" t="s">
        <v>238</v>
      </c>
      <c r="C87" s="3" t="s">
        <v>166</v>
      </c>
      <c r="D87" s="3" t="s">
        <v>109</v>
      </c>
      <c r="E87" s="3" t="s">
        <v>120</v>
      </c>
      <c r="F87" s="3">
        <v>0.8</v>
      </c>
      <c r="G87" s="3" t="s">
        <v>111</v>
      </c>
      <c r="L87" s="3" t="s">
        <v>111</v>
      </c>
      <c r="M87" s="3" t="s">
        <v>111</v>
      </c>
      <c r="N87" s="3" t="s">
        <v>111</v>
      </c>
      <c r="O87" s="3" t="s">
        <v>109</v>
      </c>
      <c r="P87" s="3" t="s">
        <v>109</v>
      </c>
      <c r="Q87" s="3" t="s">
        <v>109</v>
      </c>
      <c r="R87" s="3" t="s">
        <v>111</v>
      </c>
      <c r="S87" s="3" t="s">
        <v>109</v>
      </c>
      <c r="T87" s="3" t="s">
        <v>111</v>
      </c>
      <c r="U87" s="3" t="s">
        <v>111</v>
      </c>
      <c r="V87" s="3" t="s">
        <v>109</v>
      </c>
      <c r="W87" s="3" t="s">
        <v>111</v>
      </c>
      <c r="X87" s="3" t="s">
        <v>111</v>
      </c>
      <c r="Y87" s="3" t="s">
        <v>111</v>
      </c>
      <c r="Z87" s="3" t="s">
        <v>111</v>
      </c>
      <c r="AA87" s="3" t="s">
        <v>109</v>
      </c>
      <c r="AB87" s="3" t="s">
        <v>111</v>
      </c>
      <c r="AC87" s="3" t="s">
        <v>111</v>
      </c>
      <c r="AD87" s="3" t="s">
        <v>109</v>
      </c>
      <c r="AE87" s="3" t="s">
        <v>109</v>
      </c>
      <c r="AF87" s="3" t="s">
        <v>109</v>
      </c>
      <c r="AG87" s="3" t="s">
        <v>111</v>
      </c>
      <c r="AH87" s="3" t="s">
        <v>111</v>
      </c>
      <c r="AI87" s="3" t="s">
        <v>111</v>
      </c>
      <c r="AJ87" s="3" t="s">
        <v>109</v>
      </c>
      <c r="AK87" s="3">
        <v>96</v>
      </c>
      <c r="AL87" s="3">
        <v>30</v>
      </c>
      <c r="AM87" s="3">
        <v>70</v>
      </c>
      <c r="AN87" s="3" t="s">
        <v>109</v>
      </c>
    </row>
    <row r="88" spans="1:133" s="3" customFormat="1" x14ac:dyDescent="0.2">
      <c r="A88" s="84" t="s">
        <v>224</v>
      </c>
      <c r="B88" s="3" t="s">
        <v>238</v>
      </c>
      <c r="C88" s="3" t="s">
        <v>166</v>
      </c>
      <c r="D88" s="3" t="s">
        <v>109</v>
      </c>
      <c r="E88" s="3" t="s">
        <v>116</v>
      </c>
      <c r="F88" s="3">
        <v>60</v>
      </c>
      <c r="G88" s="3" t="s">
        <v>111</v>
      </c>
      <c r="L88" s="3" t="s">
        <v>109</v>
      </c>
      <c r="M88" s="3" t="s">
        <v>109</v>
      </c>
      <c r="N88" s="3" t="s">
        <v>109</v>
      </c>
      <c r="O88" s="3" t="s">
        <v>111</v>
      </c>
      <c r="P88" s="3" t="s">
        <v>109</v>
      </c>
      <c r="Q88" s="3" t="s">
        <v>109</v>
      </c>
      <c r="R88" s="3" t="s">
        <v>111</v>
      </c>
      <c r="S88" s="3" t="s">
        <v>109</v>
      </c>
      <c r="T88" s="3" t="s">
        <v>109</v>
      </c>
      <c r="U88" s="3" t="s">
        <v>111</v>
      </c>
      <c r="V88" s="3" t="s">
        <v>109</v>
      </c>
      <c r="W88" s="3" t="s">
        <v>109</v>
      </c>
      <c r="X88" s="3" t="s">
        <v>111</v>
      </c>
      <c r="Y88" s="3" t="s">
        <v>111</v>
      </c>
      <c r="Z88" s="3" t="s">
        <v>111</v>
      </c>
      <c r="AA88" s="3" t="s">
        <v>109</v>
      </c>
      <c r="AB88" s="3" t="s">
        <v>109</v>
      </c>
      <c r="AC88" s="3" t="s">
        <v>111</v>
      </c>
      <c r="AD88" s="3" t="s">
        <v>111</v>
      </c>
      <c r="AE88" s="3" t="s">
        <v>109</v>
      </c>
      <c r="AF88" s="3" t="s">
        <v>109</v>
      </c>
      <c r="AG88" s="3" t="s">
        <v>111</v>
      </c>
      <c r="AH88" s="3" t="s">
        <v>109</v>
      </c>
      <c r="AI88" s="3" t="s">
        <v>109</v>
      </c>
      <c r="AJ88" s="3" t="s">
        <v>111</v>
      </c>
      <c r="AK88" s="3">
        <v>95</v>
      </c>
      <c r="AL88" s="3">
        <v>73</v>
      </c>
      <c r="AM88" s="3">
        <v>27</v>
      </c>
      <c r="AN88" s="3" t="s">
        <v>109</v>
      </c>
      <c r="AO88" s="3">
        <v>92</v>
      </c>
      <c r="AP88" s="3">
        <v>65</v>
      </c>
      <c r="AZ88" s="3">
        <v>100</v>
      </c>
      <c r="BA88" s="3">
        <v>60</v>
      </c>
      <c r="BB88" s="3">
        <v>95</v>
      </c>
      <c r="BC88" s="3">
        <v>95</v>
      </c>
      <c r="BD88" s="3">
        <v>35</v>
      </c>
      <c r="BE88" s="3">
        <v>95</v>
      </c>
      <c r="BF88" s="3">
        <v>35</v>
      </c>
      <c r="BG88" s="3">
        <v>95</v>
      </c>
      <c r="BK88" s="3">
        <v>50</v>
      </c>
      <c r="BU88" s="3">
        <v>6</v>
      </c>
      <c r="BV88" s="3">
        <v>6</v>
      </c>
      <c r="BW88" s="3">
        <v>7</v>
      </c>
      <c r="BX88" s="3">
        <v>7</v>
      </c>
      <c r="BY88" s="3">
        <v>8</v>
      </c>
      <c r="BZ88" s="3">
        <v>8</v>
      </c>
      <c r="CA88" s="3">
        <v>5</v>
      </c>
      <c r="CD88" s="3" t="s">
        <v>109</v>
      </c>
      <c r="CE88" s="3" t="s">
        <v>109</v>
      </c>
      <c r="CF88" s="3" t="s">
        <v>111</v>
      </c>
      <c r="CG88" s="3" t="s">
        <v>111</v>
      </c>
      <c r="CH88" s="3" t="s">
        <v>111</v>
      </c>
      <c r="CI88" s="3" t="s">
        <v>111</v>
      </c>
      <c r="CJ88" s="3" t="s">
        <v>111</v>
      </c>
      <c r="CK88" s="3" t="s">
        <v>111</v>
      </c>
      <c r="CL88" s="3" t="s">
        <v>111</v>
      </c>
      <c r="CN88" s="3" t="s">
        <v>117</v>
      </c>
    </row>
    <row r="89" spans="1:133" x14ac:dyDescent="0.2">
      <c r="A89" s="2" t="s">
        <v>211</v>
      </c>
      <c r="B89" s="2" t="s">
        <v>236</v>
      </c>
      <c r="C89" s="2" t="s">
        <v>166</v>
      </c>
      <c r="D89" s="2" t="s">
        <v>109</v>
      </c>
      <c r="E89" s="2" t="s">
        <v>118</v>
      </c>
      <c r="F89" s="3">
        <v>8</v>
      </c>
      <c r="G89" s="2" t="s">
        <v>111</v>
      </c>
      <c r="L89" s="2" t="s">
        <v>109</v>
      </c>
      <c r="M89" s="2" t="s">
        <v>109</v>
      </c>
      <c r="N89" s="2" t="s">
        <v>111</v>
      </c>
      <c r="O89" s="2" t="s">
        <v>111</v>
      </c>
      <c r="P89" s="2" t="s">
        <v>109</v>
      </c>
      <c r="Q89" s="2" t="s">
        <v>111</v>
      </c>
      <c r="R89" s="2" t="s">
        <v>111</v>
      </c>
      <c r="S89" s="2" t="s">
        <v>109</v>
      </c>
      <c r="T89" s="2" t="s">
        <v>111</v>
      </c>
      <c r="U89" s="2" t="s">
        <v>111</v>
      </c>
      <c r="V89" s="2" t="s">
        <v>111</v>
      </c>
      <c r="W89" s="2" t="s">
        <v>111</v>
      </c>
      <c r="X89" s="2" t="s">
        <v>109</v>
      </c>
      <c r="Y89" s="2" t="s">
        <v>111</v>
      </c>
      <c r="Z89" s="2" t="s">
        <v>111</v>
      </c>
      <c r="AA89" s="2" t="s">
        <v>109</v>
      </c>
      <c r="AB89" s="2" t="s">
        <v>111</v>
      </c>
      <c r="AC89" s="2" t="s">
        <v>111</v>
      </c>
      <c r="AD89" s="2" t="s">
        <v>109</v>
      </c>
      <c r="AE89" s="2" t="s">
        <v>109</v>
      </c>
      <c r="AF89" s="2" t="s">
        <v>109</v>
      </c>
      <c r="AG89" s="2" t="s">
        <v>111</v>
      </c>
      <c r="AH89" s="3" t="s">
        <v>111</v>
      </c>
      <c r="AI89" s="2" t="s">
        <v>109</v>
      </c>
      <c r="AJ89" s="2" t="s">
        <v>111</v>
      </c>
      <c r="AK89" s="2">
        <v>90</v>
      </c>
      <c r="AL89" s="2">
        <v>5</v>
      </c>
      <c r="AM89" s="2">
        <v>10</v>
      </c>
      <c r="AN89" s="3" t="s">
        <v>109</v>
      </c>
      <c r="AO89" s="2">
        <v>90</v>
      </c>
      <c r="AP89" s="2">
        <v>75</v>
      </c>
      <c r="AQ89" s="2">
        <v>10</v>
      </c>
      <c r="AR89" s="2">
        <v>10</v>
      </c>
      <c r="AS89" s="2">
        <v>40</v>
      </c>
      <c r="AT89" s="2">
        <v>40</v>
      </c>
      <c r="AU89" s="2">
        <v>10</v>
      </c>
      <c r="AV89" s="2">
        <v>10</v>
      </c>
      <c r="AW89" s="2">
        <v>40</v>
      </c>
      <c r="AX89" s="2">
        <v>40</v>
      </c>
      <c r="AZ89" s="2">
        <v>25</v>
      </c>
      <c r="BA89" s="2">
        <v>75</v>
      </c>
      <c r="BB89" s="2">
        <v>100</v>
      </c>
      <c r="BC89" s="2">
        <v>100</v>
      </c>
      <c r="BD89" s="2">
        <v>90</v>
      </c>
      <c r="BE89" s="2">
        <v>90</v>
      </c>
      <c r="BU89" s="2">
        <v>2</v>
      </c>
      <c r="BV89" s="2">
        <v>6</v>
      </c>
      <c r="BW89" s="2">
        <v>8</v>
      </c>
      <c r="BX89" s="2">
        <v>2</v>
      </c>
      <c r="BY89" s="2">
        <v>6</v>
      </c>
      <c r="BZ89" s="2">
        <v>8</v>
      </c>
      <c r="CA89" s="2">
        <v>2</v>
      </c>
      <c r="CD89" s="3" t="s">
        <v>109</v>
      </c>
      <c r="CE89" s="2" t="s">
        <v>109</v>
      </c>
      <c r="CF89" s="2" t="s">
        <v>109</v>
      </c>
      <c r="CG89" s="2" t="s">
        <v>111</v>
      </c>
      <c r="CH89" s="2" t="s">
        <v>111</v>
      </c>
      <c r="CI89" s="3" t="s">
        <v>111</v>
      </c>
      <c r="CJ89" s="3" t="s">
        <v>111</v>
      </c>
      <c r="CK89" s="3" t="s">
        <v>111</v>
      </c>
      <c r="CL89" s="3" t="s">
        <v>111</v>
      </c>
      <c r="CM89" s="2">
        <v>50000</v>
      </c>
      <c r="CN89" s="2" t="s">
        <v>117</v>
      </c>
      <c r="CO89" s="3">
        <v>25000</v>
      </c>
      <c r="CP89" s="2">
        <v>10000</v>
      </c>
      <c r="CQ89" s="2">
        <v>2017</v>
      </c>
      <c r="CR89" s="2">
        <v>2017</v>
      </c>
      <c r="CS89" s="2">
        <v>70</v>
      </c>
      <c r="CT89" s="2">
        <v>30</v>
      </c>
      <c r="CU89" s="2">
        <v>80</v>
      </c>
      <c r="CV89" s="2">
        <v>20</v>
      </c>
      <c r="CW89" s="2">
        <v>5</v>
      </c>
      <c r="CX89" s="2">
        <v>5</v>
      </c>
      <c r="CY89" s="2">
        <v>0</v>
      </c>
      <c r="CZ89" s="2">
        <v>0</v>
      </c>
      <c r="DA89" s="2">
        <v>80</v>
      </c>
      <c r="DB89" s="2">
        <v>0</v>
      </c>
      <c r="DC89" s="2">
        <v>5</v>
      </c>
      <c r="DD89" s="2">
        <v>5</v>
      </c>
      <c r="DE89" s="2">
        <v>0</v>
      </c>
      <c r="DG89" s="2">
        <v>20</v>
      </c>
      <c r="DH89" s="2">
        <v>20</v>
      </c>
      <c r="DI89" s="2">
        <v>0</v>
      </c>
      <c r="DJ89" s="2">
        <v>60</v>
      </c>
      <c r="DK89" s="2">
        <v>0</v>
      </c>
      <c r="DL89" s="2">
        <v>0</v>
      </c>
      <c r="DM89" s="2">
        <v>0</v>
      </c>
      <c r="DN89" s="2">
        <v>0</v>
      </c>
      <c r="DO89" s="2">
        <v>0</v>
      </c>
      <c r="DQ89" s="2">
        <v>0.5</v>
      </c>
      <c r="DR89" s="2">
        <v>25</v>
      </c>
      <c r="DS89" s="2">
        <v>2017</v>
      </c>
      <c r="DT89" s="2">
        <v>2017</v>
      </c>
      <c r="DU89" s="3" t="s">
        <v>109</v>
      </c>
      <c r="DV89" s="3" t="s">
        <v>111</v>
      </c>
      <c r="DW89" s="3" t="s">
        <v>111</v>
      </c>
      <c r="DX89" s="3" t="s">
        <v>111</v>
      </c>
      <c r="DY89" s="3" t="s">
        <v>111</v>
      </c>
      <c r="DZ89" s="3" t="s">
        <v>111</v>
      </c>
      <c r="EA89" s="3" t="s">
        <v>111</v>
      </c>
      <c r="EB89" s="3" t="s">
        <v>111</v>
      </c>
    </row>
    <row r="90" spans="1:133" x14ac:dyDescent="0.2">
      <c r="A90" s="8" t="s">
        <v>224</v>
      </c>
      <c r="B90" s="2" t="s">
        <v>238</v>
      </c>
      <c r="C90" s="2" t="s">
        <v>166</v>
      </c>
      <c r="D90" s="2" t="s">
        <v>109</v>
      </c>
      <c r="E90" s="2" t="s">
        <v>114</v>
      </c>
      <c r="F90" s="3">
        <v>100</v>
      </c>
      <c r="G90" s="2" t="s">
        <v>111</v>
      </c>
      <c r="L90" s="2" t="s">
        <v>109</v>
      </c>
      <c r="M90" s="2" t="s">
        <v>109</v>
      </c>
      <c r="N90" s="2" t="s">
        <v>109</v>
      </c>
      <c r="O90" s="2" t="s">
        <v>111</v>
      </c>
      <c r="P90" s="2" t="s">
        <v>109</v>
      </c>
      <c r="Q90" s="2" t="s">
        <v>109</v>
      </c>
      <c r="R90" s="2" t="s">
        <v>111</v>
      </c>
      <c r="S90" s="2" t="s">
        <v>109</v>
      </c>
      <c r="T90" s="2" t="s">
        <v>109</v>
      </c>
      <c r="U90" s="2" t="s">
        <v>111</v>
      </c>
      <c r="V90" s="2" t="s">
        <v>109</v>
      </c>
      <c r="W90" s="2" t="s">
        <v>109</v>
      </c>
      <c r="X90" s="2" t="s">
        <v>111</v>
      </c>
      <c r="Y90" s="2" t="s">
        <v>109</v>
      </c>
      <c r="Z90" s="2" t="s">
        <v>109</v>
      </c>
      <c r="AA90" s="2" t="s">
        <v>111</v>
      </c>
      <c r="AB90" s="2" t="s">
        <v>111</v>
      </c>
      <c r="AC90" s="2" t="s">
        <v>111</v>
      </c>
      <c r="AD90" s="2" t="s">
        <v>109</v>
      </c>
      <c r="AE90" s="2" t="s">
        <v>109</v>
      </c>
      <c r="AF90" s="2" t="s">
        <v>109</v>
      </c>
      <c r="AG90" s="2" t="s">
        <v>111</v>
      </c>
      <c r="AH90" s="3" t="s">
        <v>109</v>
      </c>
      <c r="AI90" s="2" t="s">
        <v>109</v>
      </c>
      <c r="AJ90" s="2" t="s">
        <v>111</v>
      </c>
      <c r="AK90" s="2">
        <v>100</v>
      </c>
      <c r="AL90" s="2">
        <v>24</v>
      </c>
      <c r="AM90" s="2">
        <v>65</v>
      </c>
      <c r="AN90" s="3" t="s">
        <v>109</v>
      </c>
      <c r="AO90" s="2">
        <v>95</v>
      </c>
      <c r="AP90" s="2">
        <v>19</v>
      </c>
      <c r="AQ90" s="2">
        <v>75</v>
      </c>
      <c r="AR90" s="2">
        <v>10</v>
      </c>
      <c r="AS90" s="2">
        <v>5</v>
      </c>
      <c r="AT90" s="2">
        <v>10</v>
      </c>
      <c r="AU90" s="2">
        <v>100</v>
      </c>
      <c r="AY90" s="2">
        <v>30</v>
      </c>
      <c r="AZ90" s="2">
        <v>20</v>
      </c>
      <c r="BA90" s="2">
        <v>20</v>
      </c>
      <c r="BB90" s="2">
        <v>3</v>
      </c>
      <c r="BC90" s="2">
        <v>60</v>
      </c>
      <c r="BD90" s="2">
        <v>3</v>
      </c>
      <c r="BE90" s="2">
        <v>60</v>
      </c>
      <c r="BF90" s="2">
        <v>1</v>
      </c>
      <c r="BG90" s="2">
        <v>60</v>
      </c>
      <c r="BH90" s="2">
        <v>1</v>
      </c>
      <c r="BI90" s="2">
        <v>60</v>
      </c>
      <c r="BJ90" s="2">
        <v>1</v>
      </c>
      <c r="BK90" s="2">
        <v>10</v>
      </c>
      <c r="BP90" s="2">
        <v>1</v>
      </c>
      <c r="BQ90" s="2">
        <v>60</v>
      </c>
      <c r="BR90" s="2">
        <v>20</v>
      </c>
      <c r="BS90" s="2">
        <v>60</v>
      </c>
      <c r="BT90" s="2" t="s">
        <v>146</v>
      </c>
      <c r="BU90" s="2">
        <v>10</v>
      </c>
      <c r="BV90" s="2">
        <v>7</v>
      </c>
      <c r="BW90" s="2">
        <v>8</v>
      </c>
      <c r="BX90" s="2">
        <v>4</v>
      </c>
      <c r="BY90" s="2">
        <v>7</v>
      </c>
      <c r="BZ90" s="2">
        <v>6</v>
      </c>
      <c r="CD90" s="3" t="s">
        <v>109</v>
      </c>
      <c r="CE90" s="2" t="s">
        <v>109</v>
      </c>
      <c r="CF90" s="2" t="s">
        <v>111</v>
      </c>
      <c r="CG90" s="2" t="s">
        <v>111</v>
      </c>
      <c r="CH90" s="2" t="s">
        <v>111</v>
      </c>
      <c r="CI90" s="3" t="s">
        <v>109</v>
      </c>
      <c r="CJ90" s="3" t="s">
        <v>111</v>
      </c>
      <c r="CK90" s="2" t="s">
        <v>109</v>
      </c>
      <c r="CL90" s="3" t="s">
        <v>111</v>
      </c>
      <c r="CN90" s="2" t="s">
        <v>117</v>
      </c>
      <c r="CO90" s="3">
        <v>10000</v>
      </c>
      <c r="CP90" s="2">
        <v>15000</v>
      </c>
      <c r="CQ90" s="2">
        <v>2016</v>
      </c>
      <c r="CR90" s="2">
        <v>2016</v>
      </c>
      <c r="CS90" s="2">
        <v>50</v>
      </c>
      <c r="CT90" s="2">
        <v>50</v>
      </c>
      <c r="CU90" s="2">
        <v>50</v>
      </c>
      <c r="CV90" s="2">
        <v>50</v>
      </c>
    </row>
    <row r="91" spans="1:133" x14ac:dyDescent="0.2">
      <c r="A91" s="8" t="s">
        <v>225</v>
      </c>
      <c r="B91" s="2" t="s">
        <v>238</v>
      </c>
      <c r="C91" s="2" t="s">
        <v>166</v>
      </c>
      <c r="D91" s="2" t="s">
        <v>109</v>
      </c>
      <c r="E91" s="2" t="s">
        <v>116</v>
      </c>
      <c r="F91" s="3">
        <v>20</v>
      </c>
      <c r="G91" s="2" t="s">
        <v>109</v>
      </c>
      <c r="H91" s="2" t="s">
        <v>111</v>
      </c>
      <c r="I91" s="2" t="s">
        <v>111</v>
      </c>
      <c r="J91" s="2" t="s">
        <v>109</v>
      </c>
      <c r="K91" s="2" t="s">
        <v>111</v>
      </c>
      <c r="L91" s="2" t="s">
        <v>111</v>
      </c>
      <c r="M91" s="2" t="s">
        <v>109</v>
      </c>
      <c r="N91" s="2" t="s">
        <v>111</v>
      </c>
      <c r="O91" s="2" t="s">
        <v>111</v>
      </c>
      <c r="P91" s="2" t="s">
        <v>111</v>
      </c>
      <c r="Q91" s="2" t="s">
        <v>109</v>
      </c>
      <c r="R91" s="2" t="s">
        <v>111</v>
      </c>
      <c r="S91" s="2" t="s">
        <v>109</v>
      </c>
      <c r="T91" s="2" t="s">
        <v>111</v>
      </c>
      <c r="U91" s="2" t="s">
        <v>111</v>
      </c>
      <c r="V91" s="2" t="s">
        <v>111</v>
      </c>
      <c r="W91" s="2" t="s">
        <v>109</v>
      </c>
      <c r="X91" s="2" t="s">
        <v>111</v>
      </c>
      <c r="Y91" s="2" t="s">
        <v>111</v>
      </c>
      <c r="Z91" s="2" t="s">
        <v>109</v>
      </c>
      <c r="AA91" s="2" t="s">
        <v>111</v>
      </c>
      <c r="AB91" s="2" t="s">
        <v>111</v>
      </c>
      <c r="AC91" s="2" t="s">
        <v>111</v>
      </c>
      <c r="AD91" s="2" t="s">
        <v>109</v>
      </c>
      <c r="AE91" s="2" t="s">
        <v>109</v>
      </c>
      <c r="AF91" s="2" t="s">
        <v>111</v>
      </c>
      <c r="AG91" s="2" t="s">
        <v>111</v>
      </c>
      <c r="AH91" s="3" t="s">
        <v>111</v>
      </c>
      <c r="AI91" s="2" t="s">
        <v>111</v>
      </c>
      <c r="AJ91" s="2" t="s">
        <v>109</v>
      </c>
      <c r="AK91" s="2">
        <v>85</v>
      </c>
      <c r="AL91" s="2">
        <v>0</v>
      </c>
      <c r="AM91" s="2">
        <v>100</v>
      </c>
      <c r="AN91" s="3" t="s">
        <v>111</v>
      </c>
    </row>
    <row r="92" spans="1:133" x14ac:dyDescent="0.2">
      <c r="A92" s="2" t="s">
        <v>211</v>
      </c>
      <c r="B92" s="2" t="s">
        <v>236</v>
      </c>
      <c r="C92" s="2" t="s">
        <v>166</v>
      </c>
      <c r="D92" s="2" t="s">
        <v>109</v>
      </c>
      <c r="E92" s="2" t="s">
        <v>112</v>
      </c>
      <c r="F92" s="3">
        <v>6.1</v>
      </c>
      <c r="G92" s="2" t="s">
        <v>111</v>
      </c>
      <c r="L92" s="2" t="s">
        <v>109</v>
      </c>
      <c r="M92" s="2" t="s">
        <v>109</v>
      </c>
      <c r="N92" s="2" t="s">
        <v>109</v>
      </c>
      <c r="O92" s="2" t="s">
        <v>111</v>
      </c>
      <c r="P92" s="2" t="s">
        <v>109</v>
      </c>
      <c r="Q92" s="2" t="s">
        <v>109</v>
      </c>
      <c r="R92" s="2" t="s">
        <v>111</v>
      </c>
      <c r="AH92" s="3" t="s">
        <v>111</v>
      </c>
      <c r="AI92" s="2" t="s">
        <v>109</v>
      </c>
      <c r="AJ92" s="2" t="s">
        <v>111</v>
      </c>
      <c r="AK92" s="2">
        <v>90</v>
      </c>
      <c r="AL92" s="2">
        <v>4</v>
      </c>
      <c r="AM92" s="2">
        <v>12</v>
      </c>
      <c r="AN92" s="3" t="s">
        <v>109</v>
      </c>
    </row>
    <row r="93" spans="1:133" x14ac:dyDescent="0.2">
      <c r="A93" s="8" t="s">
        <v>227</v>
      </c>
      <c r="B93" s="2" t="s">
        <v>238</v>
      </c>
      <c r="C93" s="2" t="s">
        <v>166</v>
      </c>
      <c r="D93" s="2" t="s">
        <v>109</v>
      </c>
      <c r="E93" s="2" t="s">
        <v>112</v>
      </c>
      <c r="F93" s="3">
        <v>0</v>
      </c>
      <c r="G93" s="2" t="s">
        <v>111</v>
      </c>
      <c r="L93" s="2" t="s">
        <v>111</v>
      </c>
      <c r="M93" s="2" t="s">
        <v>109</v>
      </c>
      <c r="N93" s="2" t="s">
        <v>111</v>
      </c>
      <c r="O93" s="2" t="s">
        <v>111</v>
      </c>
      <c r="P93" s="2" t="s">
        <v>109</v>
      </c>
      <c r="Q93" s="2" t="s">
        <v>109</v>
      </c>
      <c r="R93" s="2" t="s">
        <v>111</v>
      </c>
      <c r="S93" s="2" t="s">
        <v>109</v>
      </c>
      <c r="T93" s="2" t="s">
        <v>111</v>
      </c>
      <c r="U93" s="2" t="s">
        <v>111</v>
      </c>
      <c r="V93" s="2" t="s">
        <v>111</v>
      </c>
      <c r="W93" s="2" t="s">
        <v>111</v>
      </c>
      <c r="X93" s="2" t="s">
        <v>109</v>
      </c>
      <c r="Y93" s="2" t="s">
        <v>111</v>
      </c>
      <c r="Z93" s="2" t="s">
        <v>111</v>
      </c>
      <c r="AA93" s="2" t="s">
        <v>109</v>
      </c>
      <c r="AB93" s="2" t="s">
        <v>111</v>
      </c>
      <c r="AC93" s="2" t="s">
        <v>111</v>
      </c>
      <c r="AD93" s="2" t="s">
        <v>109</v>
      </c>
      <c r="AE93" s="2" t="s">
        <v>111</v>
      </c>
      <c r="AF93" s="2" t="s">
        <v>111</v>
      </c>
      <c r="AG93" s="2" t="s">
        <v>109</v>
      </c>
      <c r="AH93" s="3" t="s">
        <v>111</v>
      </c>
      <c r="AI93" s="2" t="s">
        <v>111</v>
      </c>
      <c r="AJ93" s="2" t="s">
        <v>109</v>
      </c>
      <c r="AK93" s="2">
        <v>30</v>
      </c>
      <c r="AL93" s="2">
        <v>10</v>
      </c>
      <c r="AM93" s="2">
        <v>90</v>
      </c>
      <c r="AN93" s="3" t="s">
        <v>109</v>
      </c>
      <c r="AO93" s="2">
        <v>40</v>
      </c>
      <c r="AP93" s="2">
        <v>40</v>
      </c>
      <c r="AQ93" s="2">
        <v>0</v>
      </c>
      <c r="AR93" s="2">
        <v>10</v>
      </c>
      <c r="AS93" s="2">
        <v>80</v>
      </c>
      <c r="AT93" s="2">
        <v>10</v>
      </c>
      <c r="AU93" s="2">
        <v>0</v>
      </c>
      <c r="AV93" s="2">
        <v>10</v>
      </c>
      <c r="AW93" s="2">
        <v>80</v>
      </c>
      <c r="AX93" s="2">
        <v>10</v>
      </c>
      <c r="AY93" s="2">
        <v>10</v>
      </c>
      <c r="AZ93" s="2">
        <v>0</v>
      </c>
      <c r="BA93" s="2">
        <v>90</v>
      </c>
      <c r="BB93" s="2">
        <v>50</v>
      </c>
      <c r="BC93" s="2">
        <v>50</v>
      </c>
      <c r="BP93" s="2">
        <v>1</v>
      </c>
      <c r="BQ93" s="2">
        <v>1</v>
      </c>
      <c r="BU93" s="2">
        <v>2</v>
      </c>
      <c r="BV93" s="2">
        <v>2</v>
      </c>
      <c r="BW93" s="2">
        <v>2</v>
      </c>
      <c r="BX93" s="2">
        <v>1</v>
      </c>
      <c r="BY93" s="2">
        <v>6</v>
      </c>
      <c r="BZ93" s="2">
        <v>9</v>
      </c>
      <c r="CA93" s="2">
        <v>1</v>
      </c>
      <c r="CB93" s="2">
        <v>1</v>
      </c>
      <c r="CD93" s="3" t="s">
        <v>111</v>
      </c>
      <c r="CN93" s="2" t="s">
        <v>117</v>
      </c>
      <c r="CO93" s="3">
        <v>500</v>
      </c>
      <c r="CP93" s="2">
        <v>0</v>
      </c>
      <c r="CQ93" s="2">
        <v>2016</v>
      </c>
      <c r="CR93" s="2">
        <v>2016</v>
      </c>
      <c r="CS93" s="2">
        <v>40</v>
      </c>
      <c r="CT93" s="2">
        <v>60</v>
      </c>
      <c r="CU93" s="2">
        <v>100</v>
      </c>
      <c r="CV93" s="2">
        <v>0</v>
      </c>
      <c r="CW93" s="2">
        <v>0</v>
      </c>
      <c r="CX93" s="2">
        <v>0</v>
      </c>
      <c r="CY93" s="2">
        <v>0</v>
      </c>
      <c r="CZ93" s="2">
        <v>0</v>
      </c>
      <c r="DA93" s="2">
        <v>100</v>
      </c>
      <c r="DB93" s="2">
        <v>0</v>
      </c>
      <c r="DC93" s="2">
        <v>0</v>
      </c>
      <c r="DD93" s="2">
        <v>0</v>
      </c>
      <c r="DE93" s="2">
        <v>0</v>
      </c>
      <c r="DG93" s="2">
        <v>50</v>
      </c>
      <c r="DH93" s="2">
        <v>50</v>
      </c>
      <c r="DI93" s="2">
        <v>0</v>
      </c>
      <c r="DJ93" s="2">
        <v>0</v>
      </c>
      <c r="DK93" s="2">
        <v>0</v>
      </c>
      <c r="DL93" s="2">
        <v>0</v>
      </c>
      <c r="DM93" s="2">
        <v>0</v>
      </c>
      <c r="DN93" s="2">
        <v>0</v>
      </c>
      <c r="DO93" s="2">
        <v>0</v>
      </c>
      <c r="DQ93" s="2">
        <v>0</v>
      </c>
      <c r="DR93" s="2">
        <v>3</v>
      </c>
      <c r="DS93" s="2">
        <v>2016</v>
      </c>
      <c r="DT93" s="2">
        <v>2016</v>
      </c>
      <c r="DU93" s="3" t="s">
        <v>109</v>
      </c>
      <c r="DV93" s="3" t="s">
        <v>111</v>
      </c>
      <c r="DW93" s="3" t="s">
        <v>111</v>
      </c>
      <c r="DX93" s="3" t="s">
        <v>111</v>
      </c>
      <c r="DY93" s="3" t="s">
        <v>111</v>
      </c>
      <c r="DZ93" s="3" t="s">
        <v>111</v>
      </c>
      <c r="EA93" s="3" t="s">
        <v>111</v>
      </c>
      <c r="EB93" s="3" t="s">
        <v>109</v>
      </c>
      <c r="EC93" s="3" t="s">
        <v>145</v>
      </c>
    </row>
    <row r="94" spans="1:133" x14ac:dyDescent="0.2">
      <c r="A94" s="8" t="s">
        <v>227</v>
      </c>
      <c r="B94" s="2" t="s">
        <v>238</v>
      </c>
      <c r="C94" s="2" t="s">
        <v>166</v>
      </c>
      <c r="D94" s="2" t="s">
        <v>109</v>
      </c>
      <c r="E94" s="2" t="s">
        <v>116</v>
      </c>
      <c r="F94" s="3">
        <v>11</v>
      </c>
      <c r="G94" s="2" t="s">
        <v>111</v>
      </c>
      <c r="L94" s="2" t="s">
        <v>111</v>
      </c>
      <c r="M94" s="2" t="s">
        <v>111</v>
      </c>
      <c r="N94" s="2" t="s">
        <v>111</v>
      </c>
      <c r="O94" s="2" t="s">
        <v>109</v>
      </c>
      <c r="P94" s="2" t="s">
        <v>111</v>
      </c>
      <c r="Q94" s="2" t="s">
        <v>109</v>
      </c>
      <c r="R94" s="2" t="s">
        <v>111</v>
      </c>
      <c r="S94" s="2" t="s">
        <v>109</v>
      </c>
      <c r="T94" s="2" t="s">
        <v>111</v>
      </c>
      <c r="U94" s="2" t="s">
        <v>111</v>
      </c>
      <c r="V94" s="2" t="s">
        <v>111</v>
      </c>
      <c r="W94" s="2" t="s">
        <v>111</v>
      </c>
      <c r="X94" s="2" t="s">
        <v>109</v>
      </c>
      <c r="Y94" s="2" t="s">
        <v>111</v>
      </c>
      <c r="Z94" s="2" t="s">
        <v>111</v>
      </c>
      <c r="AA94" s="2" t="s">
        <v>109</v>
      </c>
      <c r="AB94" s="2" t="s">
        <v>111</v>
      </c>
      <c r="AC94" s="2" t="s">
        <v>111</v>
      </c>
      <c r="AD94" s="2" t="s">
        <v>109</v>
      </c>
      <c r="AE94" s="2" t="s">
        <v>111</v>
      </c>
      <c r="AF94" s="2" t="s">
        <v>111</v>
      </c>
      <c r="AG94" s="2" t="s">
        <v>109</v>
      </c>
      <c r="AH94" s="3" t="s">
        <v>111</v>
      </c>
      <c r="AI94" s="2" t="s">
        <v>111</v>
      </c>
      <c r="AJ94" s="2" t="s">
        <v>109</v>
      </c>
      <c r="AK94" s="2">
        <v>80</v>
      </c>
      <c r="AL94" s="2">
        <v>35</v>
      </c>
      <c r="AM94" s="2">
        <v>65</v>
      </c>
      <c r="AN94" s="3" t="s">
        <v>111</v>
      </c>
    </row>
    <row r="95" spans="1:133" x14ac:dyDescent="0.2">
      <c r="A95" s="8" t="s">
        <v>224</v>
      </c>
      <c r="B95" s="2" t="s">
        <v>238</v>
      </c>
      <c r="C95" s="2" t="s">
        <v>166</v>
      </c>
      <c r="D95" s="2" t="s">
        <v>109</v>
      </c>
      <c r="E95" s="2" t="s">
        <v>116</v>
      </c>
      <c r="G95" s="2" t="s">
        <v>109</v>
      </c>
      <c r="H95" s="2" t="s">
        <v>109</v>
      </c>
      <c r="I95" s="2" t="s">
        <v>111</v>
      </c>
      <c r="J95" s="2" t="s">
        <v>109</v>
      </c>
      <c r="K95" s="2" t="s">
        <v>111</v>
      </c>
      <c r="L95" s="2" t="s">
        <v>111</v>
      </c>
      <c r="M95" s="2" t="s">
        <v>109</v>
      </c>
      <c r="N95" s="2" t="s">
        <v>109</v>
      </c>
      <c r="O95" s="2" t="s">
        <v>111</v>
      </c>
      <c r="P95" s="2" t="s">
        <v>109</v>
      </c>
      <c r="Q95" s="2" t="s">
        <v>109</v>
      </c>
      <c r="R95" s="2" t="s">
        <v>111</v>
      </c>
      <c r="V95" s="2" t="s">
        <v>109</v>
      </c>
      <c r="W95" s="2" t="s">
        <v>109</v>
      </c>
      <c r="X95" s="2" t="s">
        <v>111</v>
      </c>
      <c r="AK95" s="2">
        <v>100</v>
      </c>
      <c r="AL95" s="2">
        <v>60</v>
      </c>
      <c r="AM95" s="2">
        <v>40</v>
      </c>
      <c r="AN95" s="3" t="s">
        <v>109</v>
      </c>
      <c r="AO95" s="2">
        <v>100</v>
      </c>
      <c r="AP95" s="2">
        <v>100</v>
      </c>
      <c r="AQ95" s="2">
        <v>100</v>
      </c>
      <c r="AU95" s="2">
        <v>100</v>
      </c>
      <c r="BA95" s="2">
        <v>100</v>
      </c>
      <c r="BB95" s="2">
        <v>100</v>
      </c>
      <c r="BD95" s="2">
        <v>100</v>
      </c>
      <c r="BF95" s="2">
        <v>100</v>
      </c>
      <c r="BJ95" s="2">
        <v>1</v>
      </c>
      <c r="BU95" s="2">
        <v>4</v>
      </c>
      <c r="BV95" s="2">
        <v>1</v>
      </c>
      <c r="BW95" s="2">
        <v>4</v>
      </c>
      <c r="BX95" s="2">
        <v>1</v>
      </c>
      <c r="BY95" s="2">
        <v>5</v>
      </c>
      <c r="BZ95" s="2">
        <v>5</v>
      </c>
      <c r="CA95" s="2">
        <v>1</v>
      </c>
      <c r="CD95" s="3" t="s">
        <v>109</v>
      </c>
      <c r="CE95" s="2" t="s">
        <v>109</v>
      </c>
      <c r="CF95" s="2" t="s">
        <v>111</v>
      </c>
      <c r="CG95" s="2" t="s">
        <v>111</v>
      </c>
      <c r="CH95" s="2" t="s">
        <v>111</v>
      </c>
      <c r="CI95" s="3" t="s">
        <v>111</v>
      </c>
      <c r="CJ95" s="3" t="s">
        <v>111</v>
      </c>
      <c r="CK95" s="3" t="s">
        <v>111</v>
      </c>
      <c r="CL95" s="3" t="s">
        <v>111</v>
      </c>
      <c r="CM95" s="2">
        <v>25000</v>
      </c>
      <c r="CN95" s="2" t="s">
        <v>117</v>
      </c>
    </row>
    <row r="96" spans="1:133" x14ac:dyDescent="0.2">
      <c r="A96" s="8" t="s">
        <v>224</v>
      </c>
      <c r="B96" s="2" t="s">
        <v>238</v>
      </c>
      <c r="C96" s="2" t="s">
        <v>166</v>
      </c>
      <c r="D96" s="2" t="s">
        <v>109</v>
      </c>
      <c r="E96" s="2" t="s">
        <v>120</v>
      </c>
      <c r="F96" s="3">
        <v>0.5</v>
      </c>
      <c r="G96" s="2" t="s">
        <v>109</v>
      </c>
      <c r="H96" s="2" t="s">
        <v>111</v>
      </c>
      <c r="I96" s="2" t="s">
        <v>111</v>
      </c>
      <c r="J96" s="2" t="s">
        <v>109</v>
      </c>
      <c r="K96" s="2" t="s">
        <v>111</v>
      </c>
      <c r="L96" s="2" t="s">
        <v>109</v>
      </c>
      <c r="M96" s="2" t="s">
        <v>109</v>
      </c>
      <c r="N96" s="2" t="s">
        <v>109</v>
      </c>
      <c r="O96" s="2" t="s">
        <v>111</v>
      </c>
      <c r="P96" s="2" t="s">
        <v>109</v>
      </c>
      <c r="Q96" s="2" t="s">
        <v>109</v>
      </c>
      <c r="R96" s="2" t="s">
        <v>111</v>
      </c>
      <c r="S96" s="2" t="s">
        <v>109</v>
      </c>
      <c r="T96" s="2" t="s">
        <v>109</v>
      </c>
      <c r="U96" s="2" t="s">
        <v>111</v>
      </c>
      <c r="V96" s="2" t="s">
        <v>109</v>
      </c>
      <c r="W96" s="2" t="s">
        <v>109</v>
      </c>
      <c r="X96" s="2" t="s">
        <v>111</v>
      </c>
      <c r="Y96" s="2" t="s">
        <v>111</v>
      </c>
      <c r="Z96" s="2" t="s">
        <v>111</v>
      </c>
      <c r="AA96" s="2" t="s">
        <v>109</v>
      </c>
      <c r="AB96" s="2" t="s">
        <v>109</v>
      </c>
      <c r="AC96" s="2" t="s">
        <v>109</v>
      </c>
      <c r="AD96" s="2" t="s">
        <v>111</v>
      </c>
      <c r="AE96" s="2" t="s">
        <v>109</v>
      </c>
      <c r="AF96" s="2" t="s">
        <v>109</v>
      </c>
      <c r="AG96" s="2" t="s">
        <v>111</v>
      </c>
      <c r="AH96" s="3" t="s">
        <v>111</v>
      </c>
      <c r="AI96" s="2" t="s">
        <v>111</v>
      </c>
      <c r="AJ96" s="2" t="s">
        <v>109</v>
      </c>
      <c r="AK96" s="2">
        <v>94</v>
      </c>
      <c r="AL96" s="2">
        <v>90</v>
      </c>
      <c r="AM96" s="2">
        <v>10</v>
      </c>
      <c r="AN96" s="3" t="s">
        <v>109</v>
      </c>
      <c r="AO96" s="2">
        <v>88</v>
      </c>
      <c r="AP96" s="2">
        <v>43</v>
      </c>
      <c r="AR96" s="2">
        <v>100</v>
      </c>
      <c r="BC96" s="2">
        <v>100</v>
      </c>
      <c r="BU96" s="2">
        <v>5</v>
      </c>
      <c r="BV96" s="2">
        <v>5</v>
      </c>
      <c r="BW96" s="2">
        <v>6</v>
      </c>
      <c r="BX96" s="2">
        <v>6</v>
      </c>
      <c r="BY96" s="2">
        <v>8</v>
      </c>
      <c r="BZ96" s="2">
        <v>8</v>
      </c>
      <c r="CA96" s="2">
        <v>2</v>
      </c>
      <c r="CB96" s="2">
        <v>6</v>
      </c>
      <c r="CD96" s="3" t="s">
        <v>119</v>
      </c>
      <c r="CN96" s="2" t="s">
        <v>119</v>
      </c>
      <c r="CO96" s="3">
        <v>0</v>
      </c>
      <c r="CP96" s="2">
        <v>0</v>
      </c>
      <c r="CQ96" s="2">
        <v>2016</v>
      </c>
      <c r="CR96" s="2">
        <v>2017</v>
      </c>
      <c r="CS96" s="2">
        <v>0</v>
      </c>
      <c r="CT96" s="2">
        <v>100</v>
      </c>
      <c r="CU96" s="2">
        <v>100</v>
      </c>
      <c r="CV96" s="2">
        <v>0</v>
      </c>
      <c r="DR96" s="2">
        <v>1.5</v>
      </c>
      <c r="DU96" s="3" t="s">
        <v>111</v>
      </c>
      <c r="DV96" s="3" t="s">
        <v>111</v>
      </c>
      <c r="DW96" s="3" t="s">
        <v>111</v>
      </c>
      <c r="DX96" s="3" t="s">
        <v>109</v>
      </c>
      <c r="DY96" s="3" t="s">
        <v>111</v>
      </c>
      <c r="DZ96" s="3" t="s">
        <v>111</v>
      </c>
      <c r="EA96" s="3" t="s">
        <v>111</v>
      </c>
      <c r="EB96" s="3" t="s">
        <v>111</v>
      </c>
      <c r="EC96" s="3" t="s">
        <v>111</v>
      </c>
    </row>
    <row r="97" spans="1:133" x14ac:dyDescent="0.2">
      <c r="A97" s="8" t="s">
        <v>224</v>
      </c>
      <c r="B97" s="2" t="s">
        <v>238</v>
      </c>
      <c r="C97" s="2" t="s">
        <v>166</v>
      </c>
      <c r="D97" s="2" t="s">
        <v>109</v>
      </c>
      <c r="E97" s="2" t="s">
        <v>120</v>
      </c>
      <c r="F97" s="3">
        <v>2</v>
      </c>
      <c r="G97" s="2" t="s">
        <v>111</v>
      </c>
      <c r="L97" s="2" t="s">
        <v>109</v>
      </c>
      <c r="M97" s="2" t="s">
        <v>109</v>
      </c>
      <c r="N97" s="2" t="s">
        <v>109</v>
      </c>
      <c r="O97" s="2" t="s">
        <v>111</v>
      </c>
      <c r="P97" s="2" t="s">
        <v>109</v>
      </c>
      <c r="Q97" s="2" t="s">
        <v>109</v>
      </c>
      <c r="R97" s="2" t="s">
        <v>111</v>
      </c>
      <c r="S97" s="2" t="s">
        <v>109</v>
      </c>
      <c r="T97" s="2" t="s">
        <v>109</v>
      </c>
      <c r="U97" s="2" t="s">
        <v>111</v>
      </c>
      <c r="V97" s="2" t="s">
        <v>109</v>
      </c>
      <c r="W97" s="2" t="s">
        <v>111</v>
      </c>
      <c r="X97" s="2" t="s">
        <v>111</v>
      </c>
      <c r="Y97" s="2" t="s">
        <v>111</v>
      </c>
      <c r="Z97" s="2" t="s">
        <v>111</v>
      </c>
      <c r="AA97" s="2" t="s">
        <v>109</v>
      </c>
      <c r="AB97" s="2" t="s">
        <v>109</v>
      </c>
      <c r="AC97" s="2" t="s">
        <v>111</v>
      </c>
      <c r="AD97" s="2" t="s">
        <v>111</v>
      </c>
      <c r="AE97" s="2" t="s">
        <v>109</v>
      </c>
      <c r="AF97" s="2" t="s">
        <v>109</v>
      </c>
      <c r="AG97" s="2" t="s">
        <v>111</v>
      </c>
      <c r="AH97" s="3" t="s">
        <v>109</v>
      </c>
      <c r="AI97" s="2" t="s">
        <v>111</v>
      </c>
      <c r="AJ97" s="2" t="s">
        <v>109</v>
      </c>
      <c r="AK97" s="2">
        <v>81</v>
      </c>
      <c r="AL97" s="2">
        <v>25</v>
      </c>
      <c r="AM97" s="2">
        <v>81</v>
      </c>
      <c r="AN97" s="3" t="s">
        <v>111</v>
      </c>
    </row>
    <row r="98" spans="1:133" x14ac:dyDescent="0.2">
      <c r="A98" s="8" t="s">
        <v>232</v>
      </c>
      <c r="B98" s="2" t="s">
        <v>237</v>
      </c>
      <c r="C98" s="2" t="s">
        <v>166</v>
      </c>
      <c r="D98" s="2" t="s">
        <v>109</v>
      </c>
      <c r="E98" s="2" t="s">
        <v>118</v>
      </c>
      <c r="F98" s="3">
        <v>7.6</v>
      </c>
      <c r="G98" s="2" t="s">
        <v>109</v>
      </c>
      <c r="H98" s="2" t="s">
        <v>109</v>
      </c>
      <c r="I98" s="2" t="s">
        <v>111</v>
      </c>
      <c r="J98" s="2" t="s">
        <v>109</v>
      </c>
      <c r="K98" s="2" t="s">
        <v>111</v>
      </c>
      <c r="L98" s="2" t="s">
        <v>111</v>
      </c>
      <c r="M98" s="2" t="s">
        <v>109</v>
      </c>
      <c r="N98" s="2" t="s">
        <v>109</v>
      </c>
      <c r="O98" s="2" t="s">
        <v>111</v>
      </c>
      <c r="P98" s="2" t="s">
        <v>109</v>
      </c>
      <c r="Q98" s="2" t="s">
        <v>109</v>
      </c>
      <c r="R98" s="2" t="s">
        <v>111</v>
      </c>
      <c r="AK98" s="2">
        <v>90</v>
      </c>
      <c r="AL98" s="2">
        <v>20</v>
      </c>
      <c r="AM98" s="2">
        <v>70</v>
      </c>
      <c r="AN98" s="3" t="s">
        <v>109</v>
      </c>
      <c r="AO98" s="2">
        <v>90</v>
      </c>
      <c r="AP98" s="2">
        <v>20</v>
      </c>
      <c r="AQ98" s="2">
        <v>50</v>
      </c>
      <c r="AR98" s="2">
        <v>20</v>
      </c>
      <c r="AS98" s="2">
        <v>15</v>
      </c>
      <c r="AT98" s="2">
        <v>15</v>
      </c>
      <c r="AU98" s="2">
        <v>85</v>
      </c>
      <c r="AV98" s="2">
        <v>5</v>
      </c>
      <c r="AW98" s="2">
        <v>5</v>
      </c>
      <c r="AX98" s="2">
        <v>5</v>
      </c>
      <c r="BA98" s="2">
        <v>100</v>
      </c>
      <c r="BB98" s="2">
        <v>90</v>
      </c>
      <c r="BC98" s="2">
        <v>90</v>
      </c>
      <c r="BH98" s="2">
        <v>70</v>
      </c>
      <c r="BI98" s="2">
        <v>70</v>
      </c>
      <c r="BU98" s="2">
        <v>10</v>
      </c>
      <c r="BV98" s="2">
        <v>10</v>
      </c>
      <c r="BW98" s="2">
        <v>10</v>
      </c>
      <c r="BX98" s="2">
        <v>1</v>
      </c>
      <c r="BY98" s="2">
        <v>8</v>
      </c>
      <c r="BZ98" s="2">
        <v>10</v>
      </c>
      <c r="CA98" s="2">
        <v>1</v>
      </c>
      <c r="CB98" s="2">
        <v>1</v>
      </c>
      <c r="CD98" s="3" t="s">
        <v>109</v>
      </c>
      <c r="CE98" s="2" t="s">
        <v>109</v>
      </c>
      <c r="CF98" s="2" t="s">
        <v>111</v>
      </c>
      <c r="CG98" s="2" t="s">
        <v>111</v>
      </c>
      <c r="CH98" s="2" t="s">
        <v>111</v>
      </c>
      <c r="CI98" s="3" t="s">
        <v>111</v>
      </c>
      <c r="CJ98" s="3" t="s">
        <v>111</v>
      </c>
      <c r="CK98" s="3" t="s">
        <v>111</v>
      </c>
      <c r="CL98" s="3" t="s">
        <v>111</v>
      </c>
      <c r="CM98" s="2">
        <v>40000</v>
      </c>
      <c r="CN98" s="2" t="s">
        <v>117</v>
      </c>
      <c r="CO98" s="3">
        <v>100000</v>
      </c>
      <c r="CP98" s="2">
        <v>18000</v>
      </c>
      <c r="CQ98" s="2">
        <v>2016</v>
      </c>
      <c r="CR98" s="2">
        <v>2016</v>
      </c>
      <c r="CS98" s="2">
        <v>20</v>
      </c>
      <c r="CT98" s="2">
        <v>80</v>
      </c>
      <c r="CU98" s="2">
        <v>80</v>
      </c>
      <c r="CV98" s="2">
        <v>20</v>
      </c>
      <c r="CW98" s="2">
        <v>10</v>
      </c>
      <c r="CX98" s="2">
        <v>10</v>
      </c>
      <c r="CY98" s="2">
        <v>0</v>
      </c>
      <c r="CZ98" s="2">
        <v>5</v>
      </c>
      <c r="DA98" s="2">
        <v>40</v>
      </c>
      <c r="DB98" s="2">
        <v>5</v>
      </c>
      <c r="DC98" s="2">
        <v>25</v>
      </c>
      <c r="DD98" s="2">
        <v>5</v>
      </c>
      <c r="DE98" s="2">
        <v>0</v>
      </c>
      <c r="DG98" s="2">
        <v>45</v>
      </c>
      <c r="DH98" s="2">
        <v>10</v>
      </c>
      <c r="DI98" s="2">
        <v>0</v>
      </c>
      <c r="DJ98" s="2">
        <v>5</v>
      </c>
      <c r="DK98" s="2">
        <v>5</v>
      </c>
      <c r="DL98" s="2">
        <v>20</v>
      </c>
      <c r="DM98" s="2">
        <v>5</v>
      </c>
      <c r="DN98" s="2">
        <v>10</v>
      </c>
      <c r="DO98" s="2">
        <v>0</v>
      </c>
      <c r="DQ98" s="2">
        <v>2.5</v>
      </c>
      <c r="DR98" s="2">
        <v>0.7</v>
      </c>
      <c r="DS98" s="2">
        <v>2016</v>
      </c>
      <c r="DT98" s="2">
        <v>2016</v>
      </c>
      <c r="DU98" s="3" t="s">
        <v>109</v>
      </c>
      <c r="DV98" s="3" t="s">
        <v>111</v>
      </c>
      <c r="DW98" s="3" t="s">
        <v>111</v>
      </c>
      <c r="DX98" s="3" t="s">
        <v>111</v>
      </c>
      <c r="DY98" s="3" t="s">
        <v>111</v>
      </c>
      <c r="DZ98" s="3" t="s">
        <v>111</v>
      </c>
      <c r="EA98" s="3" t="s">
        <v>111</v>
      </c>
      <c r="EB98" s="3" t="s">
        <v>111</v>
      </c>
      <c r="EC98" s="3" t="s">
        <v>111</v>
      </c>
    </row>
    <row r="99" spans="1:133" x14ac:dyDescent="0.2">
      <c r="A99" s="8" t="s">
        <v>224</v>
      </c>
      <c r="B99" s="2" t="s">
        <v>238</v>
      </c>
      <c r="C99" s="2" t="s">
        <v>166</v>
      </c>
      <c r="D99" s="2" t="s">
        <v>109</v>
      </c>
      <c r="E99" s="2" t="s">
        <v>116</v>
      </c>
      <c r="F99" s="3">
        <v>49.5</v>
      </c>
      <c r="G99" s="2" t="s">
        <v>111</v>
      </c>
      <c r="L99" s="2" t="s">
        <v>111</v>
      </c>
      <c r="M99" s="2" t="s">
        <v>109</v>
      </c>
      <c r="N99" s="2" t="s">
        <v>111</v>
      </c>
      <c r="O99" s="2" t="s">
        <v>111</v>
      </c>
      <c r="P99" s="2" t="s">
        <v>109</v>
      </c>
      <c r="Q99" s="2" t="s">
        <v>111</v>
      </c>
      <c r="R99" s="2" t="s">
        <v>111</v>
      </c>
      <c r="S99" s="2" t="s">
        <v>109</v>
      </c>
      <c r="T99" s="2" t="s">
        <v>111</v>
      </c>
      <c r="U99" s="2" t="s">
        <v>111</v>
      </c>
      <c r="V99" s="2" t="s">
        <v>109</v>
      </c>
      <c r="W99" s="2" t="s">
        <v>111</v>
      </c>
      <c r="X99" s="2" t="s">
        <v>111</v>
      </c>
      <c r="Y99" s="2" t="s">
        <v>109</v>
      </c>
      <c r="Z99" s="2" t="s">
        <v>111</v>
      </c>
      <c r="AA99" s="2" t="s">
        <v>111</v>
      </c>
      <c r="AB99" s="2" t="s">
        <v>111</v>
      </c>
      <c r="AC99" s="2" t="s">
        <v>111</v>
      </c>
      <c r="AD99" s="2" t="s">
        <v>109</v>
      </c>
      <c r="AE99" s="2" t="s">
        <v>109</v>
      </c>
      <c r="AF99" s="2" t="s">
        <v>111</v>
      </c>
      <c r="AG99" s="2" t="s">
        <v>111</v>
      </c>
      <c r="AH99" s="3" t="s">
        <v>111</v>
      </c>
      <c r="AI99" s="2" t="s">
        <v>109</v>
      </c>
      <c r="AJ99" s="2" t="s">
        <v>111</v>
      </c>
      <c r="AK99" s="2">
        <v>100</v>
      </c>
      <c r="AL99" s="2">
        <v>10</v>
      </c>
      <c r="AM99" s="2">
        <v>90</v>
      </c>
      <c r="AN99" s="3" t="s">
        <v>109</v>
      </c>
      <c r="AO99" s="2">
        <v>10</v>
      </c>
      <c r="AP99" s="2">
        <v>95</v>
      </c>
      <c r="AQ99" s="2">
        <v>100</v>
      </c>
      <c r="AR99" s="2">
        <v>0</v>
      </c>
      <c r="AS99" s="2">
        <v>0</v>
      </c>
      <c r="AT99" s="2">
        <v>0</v>
      </c>
      <c r="AU99" s="2">
        <v>100</v>
      </c>
      <c r="AV99" s="2">
        <v>0</v>
      </c>
      <c r="AW99" s="2">
        <v>0</v>
      </c>
      <c r="AX99" s="2">
        <v>0</v>
      </c>
      <c r="AY99" s="2">
        <v>50</v>
      </c>
      <c r="AZ99" s="2">
        <v>0</v>
      </c>
      <c r="BA99" s="2">
        <v>50</v>
      </c>
      <c r="BB99" s="2">
        <v>50</v>
      </c>
      <c r="BC99" s="2">
        <v>55</v>
      </c>
      <c r="BF99" s="2">
        <v>40</v>
      </c>
      <c r="BG99" s="2">
        <v>45</v>
      </c>
      <c r="BU99" s="2">
        <v>10</v>
      </c>
      <c r="BV99" s="2">
        <v>1</v>
      </c>
      <c r="BW99" s="2">
        <v>10</v>
      </c>
      <c r="BX99" s="2">
        <v>1</v>
      </c>
      <c r="BY99" s="2">
        <v>6</v>
      </c>
      <c r="BZ99" s="2">
        <v>10</v>
      </c>
      <c r="CA99" s="2">
        <v>1</v>
      </c>
      <c r="CD99" s="3" t="s">
        <v>119</v>
      </c>
      <c r="CN99" s="2" t="s">
        <v>119</v>
      </c>
      <c r="CO99" s="3">
        <v>15000</v>
      </c>
      <c r="CP99" s="2">
        <v>100000</v>
      </c>
      <c r="CQ99" s="2">
        <v>2016</v>
      </c>
      <c r="CR99" s="2">
        <v>2014</v>
      </c>
      <c r="CS99" s="2">
        <v>85</v>
      </c>
      <c r="CT99" s="2">
        <v>15</v>
      </c>
      <c r="CU99" s="2">
        <v>15</v>
      </c>
      <c r="CV99" s="2">
        <v>85</v>
      </c>
      <c r="CW99" s="2">
        <v>1</v>
      </c>
      <c r="CX99" s="2">
        <v>4</v>
      </c>
      <c r="CY99" s="2">
        <v>0</v>
      </c>
      <c r="CZ99" s="2">
        <v>5</v>
      </c>
      <c r="DA99" s="2">
        <v>70</v>
      </c>
      <c r="DB99" s="2">
        <v>0</v>
      </c>
      <c r="DC99" s="2">
        <v>10</v>
      </c>
      <c r="DD99" s="2">
        <v>10</v>
      </c>
      <c r="DE99" s="2">
        <v>0</v>
      </c>
      <c r="DG99" s="2">
        <v>20</v>
      </c>
      <c r="DH99" s="2">
        <v>10</v>
      </c>
      <c r="DI99" s="2">
        <v>9</v>
      </c>
      <c r="DJ99" s="2">
        <v>40</v>
      </c>
      <c r="DK99" s="2">
        <v>20</v>
      </c>
      <c r="DL99" s="2">
        <v>1</v>
      </c>
      <c r="DM99" s="2">
        <v>0</v>
      </c>
      <c r="DN99" s="2">
        <v>0</v>
      </c>
      <c r="DO99" s="2">
        <v>0</v>
      </c>
      <c r="DQ99" s="2">
        <v>2</v>
      </c>
      <c r="DR99" s="2">
        <v>6</v>
      </c>
      <c r="DS99" s="2">
        <v>2017</v>
      </c>
      <c r="DT99" s="2">
        <v>2017</v>
      </c>
      <c r="DU99" s="3" t="s">
        <v>109</v>
      </c>
      <c r="DV99" s="3" t="s">
        <v>111</v>
      </c>
      <c r="DW99" s="3" t="s">
        <v>109</v>
      </c>
      <c r="DX99" s="3" t="s">
        <v>111</v>
      </c>
      <c r="DY99" s="3" t="s">
        <v>111</v>
      </c>
      <c r="DZ99" s="3" t="s">
        <v>111</v>
      </c>
      <c r="EA99" s="3" t="s">
        <v>111</v>
      </c>
      <c r="EB99" s="3" t="s">
        <v>111</v>
      </c>
    </row>
    <row r="100" spans="1:133" x14ac:dyDescent="0.2">
      <c r="A100" s="8" t="s">
        <v>227</v>
      </c>
      <c r="B100" s="2" t="s">
        <v>238</v>
      </c>
      <c r="C100" s="2" t="s">
        <v>166</v>
      </c>
      <c r="D100" s="2" t="s">
        <v>109</v>
      </c>
      <c r="E100" s="2" t="s">
        <v>120</v>
      </c>
      <c r="F100" s="3">
        <v>2.8</v>
      </c>
      <c r="G100" s="2" t="s">
        <v>111</v>
      </c>
      <c r="L100" s="2" t="s">
        <v>111</v>
      </c>
      <c r="M100" s="2" t="s">
        <v>109</v>
      </c>
      <c r="N100" s="2" t="s">
        <v>111</v>
      </c>
      <c r="O100" s="2" t="s">
        <v>111</v>
      </c>
      <c r="P100" s="2" t="s">
        <v>109</v>
      </c>
      <c r="Q100" s="2" t="s">
        <v>109</v>
      </c>
      <c r="R100" s="2" t="s">
        <v>111</v>
      </c>
      <c r="S100" s="2" t="s">
        <v>109</v>
      </c>
      <c r="T100" s="2" t="s">
        <v>111</v>
      </c>
      <c r="U100" s="2" t="s">
        <v>111</v>
      </c>
      <c r="V100" s="2" t="s">
        <v>109</v>
      </c>
      <c r="W100" s="2" t="s">
        <v>109</v>
      </c>
      <c r="X100" s="2" t="s">
        <v>111</v>
      </c>
      <c r="Y100" s="2" t="s">
        <v>111</v>
      </c>
      <c r="Z100" s="2" t="s">
        <v>111</v>
      </c>
      <c r="AA100" s="2" t="s">
        <v>109</v>
      </c>
      <c r="AB100" s="2" t="s">
        <v>109</v>
      </c>
      <c r="AC100" s="2" t="s">
        <v>109</v>
      </c>
      <c r="AD100" s="2" t="s">
        <v>111</v>
      </c>
      <c r="AE100" s="2" t="s">
        <v>109</v>
      </c>
      <c r="AF100" s="2" t="s">
        <v>111</v>
      </c>
      <c r="AG100" s="2" t="s">
        <v>111</v>
      </c>
      <c r="AH100" s="3" t="s">
        <v>111</v>
      </c>
      <c r="AI100" s="2" t="s">
        <v>111</v>
      </c>
      <c r="AJ100" s="2" t="s">
        <v>109</v>
      </c>
      <c r="AK100" s="2">
        <v>95</v>
      </c>
      <c r="AL100" s="2">
        <v>95</v>
      </c>
      <c r="AM100" s="2">
        <v>5</v>
      </c>
      <c r="AN100" s="3" t="s">
        <v>109</v>
      </c>
      <c r="AO100" s="2">
        <v>50</v>
      </c>
      <c r="AP100" s="2">
        <v>10</v>
      </c>
      <c r="BU100" s="2">
        <v>2</v>
      </c>
      <c r="BV100" s="2">
        <v>8</v>
      </c>
      <c r="BW100" s="2">
        <v>5</v>
      </c>
      <c r="BX100" s="2">
        <v>5</v>
      </c>
      <c r="BY100" s="2">
        <v>10</v>
      </c>
      <c r="BZ100" s="2">
        <v>2</v>
      </c>
      <c r="CB100" s="2">
        <v>5</v>
      </c>
      <c r="CD100" s="3" t="s">
        <v>111</v>
      </c>
      <c r="CN100" s="2" t="s">
        <v>117</v>
      </c>
      <c r="CO100" s="3">
        <v>0</v>
      </c>
      <c r="CP100" s="2">
        <v>0</v>
      </c>
      <c r="CQ100" s="2">
        <v>2016</v>
      </c>
      <c r="CR100" s="2">
        <v>2016</v>
      </c>
      <c r="CS100" s="2">
        <v>10</v>
      </c>
      <c r="CT100" s="2">
        <v>90</v>
      </c>
      <c r="CU100" s="2">
        <v>90</v>
      </c>
      <c r="CV100" s="2">
        <v>10</v>
      </c>
      <c r="CW100" s="2">
        <v>10</v>
      </c>
      <c r="CX100" s="2">
        <v>10</v>
      </c>
      <c r="CY100" s="2">
        <v>10</v>
      </c>
      <c r="CZ100" s="2">
        <v>10</v>
      </c>
      <c r="DA100" s="2">
        <v>20</v>
      </c>
      <c r="DB100" s="2">
        <v>10</v>
      </c>
      <c r="DC100" s="2">
        <v>10</v>
      </c>
      <c r="DD100" s="2">
        <v>10</v>
      </c>
      <c r="DE100" s="2">
        <v>10</v>
      </c>
      <c r="DF100" s="2">
        <v>0</v>
      </c>
      <c r="DG100" s="2">
        <v>20</v>
      </c>
      <c r="DH100" s="2">
        <v>10</v>
      </c>
      <c r="DI100" s="2">
        <v>10</v>
      </c>
      <c r="DJ100" s="2">
        <v>10</v>
      </c>
      <c r="DK100" s="2">
        <v>10</v>
      </c>
      <c r="DL100" s="2">
        <v>10</v>
      </c>
      <c r="DM100" s="2">
        <v>10</v>
      </c>
      <c r="DN100" s="2">
        <v>10</v>
      </c>
      <c r="DO100" s="2">
        <v>10</v>
      </c>
      <c r="DP100" s="2">
        <v>0</v>
      </c>
      <c r="DQ100" s="2">
        <v>0.1</v>
      </c>
      <c r="DR100" s="2">
        <v>0.1</v>
      </c>
      <c r="DS100" s="2">
        <v>2016</v>
      </c>
      <c r="DT100" s="2">
        <v>2016</v>
      </c>
      <c r="DU100" s="3" t="s">
        <v>109</v>
      </c>
      <c r="DV100" s="3" t="s">
        <v>111</v>
      </c>
      <c r="DW100" s="3" t="s">
        <v>111</v>
      </c>
      <c r="DX100" s="3" t="s">
        <v>111</v>
      </c>
      <c r="DY100" s="3" t="s">
        <v>111</v>
      </c>
      <c r="DZ100" s="3" t="s">
        <v>111</v>
      </c>
      <c r="EA100" s="3" t="s">
        <v>111</v>
      </c>
      <c r="EB100" s="3" t="s">
        <v>111</v>
      </c>
      <c r="EC100" s="3" t="s">
        <v>111</v>
      </c>
    </row>
    <row r="101" spans="1:133" x14ac:dyDescent="0.2">
      <c r="A101" s="2" t="s">
        <v>211</v>
      </c>
      <c r="B101" s="2" t="s">
        <v>236</v>
      </c>
      <c r="C101" s="2" t="s">
        <v>166</v>
      </c>
      <c r="D101" s="2" t="s">
        <v>109</v>
      </c>
      <c r="E101" s="2" t="s">
        <v>120</v>
      </c>
      <c r="F101" s="3">
        <v>4</v>
      </c>
      <c r="G101" s="2" t="s">
        <v>109</v>
      </c>
      <c r="H101" s="2" t="s">
        <v>109</v>
      </c>
      <c r="I101" s="2" t="s">
        <v>109</v>
      </c>
      <c r="J101" s="2" t="s">
        <v>109</v>
      </c>
      <c r="K101" s="2" t="s">
        <v>109</v>
      </c>
      <c r="L101" s="2" t="s">
        <v>109</v>
      </c>
      <c r="M101" s="2" t="s">
        <v>109</v>
      </c>
      <c r="N101" s="2" t="s">
        <v>109</v>
      </c>
      <c r="O101" s="2" t="s">
        <v>111</v>
      </c>
      <c r="P101" s="2" t="s">
        <v>109</v>
      </c>
      <c r="Q101" s="2" t="s">
        <v>109</v>
      </c>
      <c r="R101" s="2" t="s">
        <v>111</v>
      </c>
      <c r="S101" s="2" t="s">
        <v>109</v>
      </c>
      <c r="T101" s="2" t="s">
        <v>109</v>
      </c>
      <c r="U101" s="2" t="s">
        <v>111</v>
      </c>
      <c r="V101" s="2" t="s">
        <v>111</v>
      </c>
      <c r="W101" s="2" t="s">
        <v>111</v>
      </c>
      <c r="X101" s="2" t="s">
        <v>109</v>
      </c>
      <c r="Y101" s="2" t="s">
        <v>111</v>
      </c>
      <c r="Z101" s="2" t="s">
        <v>111</v>
      </c>
      <c r="AA101" s="2" t="s">
        <v>109</v>
      </c>
      <c r="AB101" s="2" t="s">
        <v>111</v>
      </c>
      <c r="AC101" s="2" t="s">
        <v>111</v>
      </c>
      <c r="AD101" s="2" t="s">
        <v>109</v>
      </c>
      <c r="AE101" s="2" t="s">
        <v>109</v>
      </c>
      <c r="AF101" s="2" t="s">
        <v>111</v>
      </c>
      <c r="AG101" s="2" t="s">
        <v>111</v>
      </c>
      <c r="AH101" s="3" t="s">
        <v>111</v>
      </c>
      <c r="AI101" s="2" t="s">
        <v>109</v>
      </c>
      <c r="AJ101" s="2" t="s">
        <v>111</v>
      </c>
      <c r="AK101" s="2">
        <v>95</v>
      </c>
      <c r="AL101" s="2">
        <v>5</v>
      </c>
      <c r="AM101" s="2">
        <v>25</v>
      </c>
      <c r="AN101" s="3" t="s">
        <v>109</v>
      </c>
      <c r="AO101" s="2">
        <v>99</v>
      </c>
      <c r="AP101" s="2">
        <v>80</v>
      </c>
      <c r="AQ101" s="2">
        <v>5</v>
      </c>
      <c r="AR101" s="2">
        <v>15</v>
      </c>
      <c r="AS101" s="2">
        <v>40</v>
      </c>
      <c r="AT101" s="2">
        <v>40</v>
      </c>
      <c r="AU101" s="2">
        <v>25</v>
      </c>
      <c r="AV101" s="2">
        <v>70</v>
      </c>
      <c r="AW101" s="2">
        <v>5</v>
      </c>
      <c r="AY101" s="2">
        <v>10</v>
      </c>
      <c r="AZ101" s="2">
        <v>40</v>
      </c>
      <c r="BA101" s="2">
        <v>50</v>
      </c>
      <c r="BB101" s="2">
        <v>75</v>
      </c>
      <c r="BD101" s="2">
        <v>75</v>
      </c>
      <c r="BF101" s="2">
        <v>74</v>
      </c>
      <c r="BU101" s="2">
        <v>10</v>
      </c>
      <c r="BW101" s="2">
        <v>5</v>
      </c>
      <c r="BY101" s="2">
        <v>10</v>
      </c>
      <c r="BZ101" s="2">
        <v>10</v>
      </c>
      <c r="CD101" s="3" t="s">
        <v>111</v>
      </c>
      <c r="CN101" s="2" t="s">
        <v>117</v>
      </c>
      <c r="CO101" s="3">
        <v>7500</v>
      </c>
      <c r="CP101" s="2">
        <v>50000</v>
      </c>
      <c r="CQ101" s="2">
        <v>2017</v>
      </c>
      <c r="CR101" s="2">
        <v>2014</v>
      </c>
      <c r="CS101" s="2">
        <v>10</v>
      </c>
      <c r="CT101" s="2">
        <v>90</v>
      </c>
      <c r="CU101" s="2">
        <v>90</v>
      </c>
      <c r="CV101" s="2">
        <v>10</v>
      </c>
      <c r="CW101" s="2">
        <v>10</v>
      </c>
      <c r="CX101" s="2">
        <v>25</v>
      </c>
      <c r="CY101" s="2">
        <v>0</v>
      </c>
      <c r="CZ101" s="2">
        <v>10</v>
      </c>
      <c r="DA101" s="2">
        <v>25</v>
      </c>
      <c r="DB101" s="2">
        <v>5</v>
      </c>
      <c r="DC101" s="2">
        <v>25</v>
      </c>
      <c r="DD101" s="2">
        <v>0</v>
      </c>
      <c r="DE101" s="2">
        <v>0</v>
      </c>
      <c r="DG101" s="2">
        <v>60</v>
      </c>
      <c r="DH101" s="2">
        <v>10</v>
      </c>
      <c r="DI101" s="2">
        <v>10</v>
      </c>
      <c r="DJ101" s="2">
        <v>5</v>
      </c>
      <c r="DK101" s="2">
        <v>0</v>
      </c>
      <c r="DL101" s="2">
        <v>5</v>
      </c>
      <c r="DM101" s="2">
        <v>0</v>
      </c>
      <c r="DN101" s="2">
        <v>10</v>
      </c>
      <c r="DO101" s="2">
        <v>0</v>
      </c>
      <c r="DQ101" s="2">
        <v>3</v>
      </c>
      <c r="DR101" s="2">
        <v>5</v>
      </c>
      <c r="DS101" s="2">
        <v>2017</v>
      </c>
      <c r="DT101" s="2">
        <v>2017</v>
      </c>
      <c r="DU101" s="3" t="s">
        <v>109</v>
      </c>
      <c r="DV101" s="3" t="s">
        <v>111</v>
      </c>
      <c r="DW101" s="3" t="s">
        <v>111</v>
      </c>
      <c r="DX101" s="3" t="s">
        <v>111</v>
      </c>
      <c r="DY101" s="3" t="s">
        <v>111</v>
      </c>
      <c r="DZ101" s="3" t="s">
        <v>111</v>
      </c>
      <c r="EA101" s="3" t="s">
        <v>111</v>
      </c>
      <c r="EB101" s="3" t="s">
        <v>111</v>
      </c>
      <c r="EC101" s="3" t="s">
        <v>111</v>
      </c>
    </row>
    <row r="102" spans="1:133" x14ac:dyDescent="0.2">
      <c r="A102" s="2" t="s">
        <v>144</v>
      </c>
      <c r="B102" s="2" t="s">
        <v>236</v>
      </c>
      <c r="C102" s="2" t="s">
        <v>166</v>
      </c>
      <c r="D102" s="2" t="s">
        <v>109</v>
      </c>
      <c r="E102" s="2" t="s">
        <v>114</v>
      </c>
      <c r="F102" s="3">
        <v>185</v>
      </c>
      <c r="G102" s="2" t="s">
        <v>109</v>
      </c>
      <c r="H102" s="2" t="s">
        <v>109</v>
      </c>
      <c r="I102" s="2" t="s">
        <v>109</v>
      </c>
      <c r="J102" s="2" t="s">
        <v>109</v>
      </c>
      <c r="K102" s="2" t="s">
        <v>109</v>
      </c>
      <c r="L102" s="2" t="s">
        <v>109</v>
      </c>
      <c r="M102" s="2" t="s">
        <v>109</v>
      </c>
      <c r="N102" s="2" t="s">
        <v>109</v>
      </c>
      <c r="O102" s="2" t="s">
        <v>111</v>
      </c>
      <c r="P102" s="2" t="s">
        <v>109</v>
      </c>
      <c r="Q102" s="2" t="s">
        <v>109</v>
      </c>
      <c r="R102" s="2" t="s">
        <v>111</v>
      </c>
      <c r="S102" s="2" t="s">
        <v>109</v>
      </c>
      <c r="T102" s="2" t="s">
        <v>109</v>
      </c>
      <c r="U102" s="2" t="s">
        <v>111</v>
      </c>
      <c r="V102" s="2" t="s">
        <v>111</v>
      </c>
      <c r="W102" s="2" t="s">
        <v>111</v>
      </c>
      <c r="X102" s="2" t="s">
        <v>109</v>
      </c>
      <c r="Y102" s="2" t="s">
        <v>111</v>
      </c>
      <c r="Z102" s="2" t="s">
        <v>111</v>
      </c>
      <c r="AA102" s="2" t="s">
        <v>109</v>
      </c>
      <c r="AB102" s="2" t="s">
        <v>111</v>
      </c>
      <c r="AC102" s="2" t="s">
        <v>111</v>
      </c>
      <c r="AD102" s="2" t="s">
        <v>109</v>
      </c>
      <c r="AE102" s="2" t="s">
        <v>109</v>
      </c>
      <c r="AF102" s="2" t="s">
        <v>111</v>
      </c>
      <c r="AG102" s="2" t="s">
        <v>111</v>
      </c>
      <c r="AH102" s="3" t="s">
        <v>111</v>
      </c>
      <c r="AI102" s="2" t="s">
        <v>109</v>
      </c>
      <c r="AJ102" s="2" t="s">
        <v>111</v>
      </c>
      <c r="AK102" s="2">
        <v>98</v>
      </c>
      <c r="AL102" s="2">
        <v>2</v>
      </c>
      <c r="AM102" s="2">
        <v>8</v>
      </c>
      <c r="AN102" s="3" t="s">
        <v>109</v>
      </c>
      <c r="AO102" s="2">
        <v>98</v>
      </c>
      <c r="AP102" s="2">
        <v>1</v>
      </c>
      <c r="AQ102" s="2">
        <v>95</v>
      </c>
      <c r="AS102" s="2">
        <v>3</v>
      </c>
      <c r="AT102" s="2">
        <v>2</v>
      </c>
      <c r="AU102" s="2">
        <v>100</v>
      </c>
      <c r="BA102" s="2">
        <v>70</v>
      </c>
      <c r="BU102" s="2">
        <v>7</v>
      </c>
      <c r="BV102" s="2">
        <v>7</v>
      </c>
      <c r="BW102" s="2">
        <v>7</v>
      </c>
      <c r="BY102" s="2">
        <v>7</v>
      </c>
      <c r="BZ102" s="2">
        <v>7</v>
      </c>
      <c r="CD102" s="3" t="s">
        <v>119</v>
      </c>
      <c r="CN102" s="2" t="s">
        <v>115</v>
      </c>
    </row>
    <row r="103" spans="1:133" x14ac:dyDescent="0.2">
      <c r="A103" s="8" t="s">
        <v>224</v>
      </c>
      <c r="B103" s="2" t="s">
        <v>238</v>
      </c>
      <c r="C103" s="2" t="s">
        <v>166</v>
      </c>
      <c r="D103" s="2" t="s">
        <v>109</v>
      </c>
      <c r="E103" s="2" t="s">
        <v>120</v>
      </c>
      <c r="F103" s="3">
        <v>2.4</v>
      </c>
      <c r="G103" s="2" t="s">
        <v>111</v>
      </c>
      <c r="L103" s="2" t="s">
        <v>111</v>
      </c>
      <c r="M103" s="2" t="s">
        <v>109</v>
      </c>
      <c r="N103" s="2" t="s">
        <v>111</v>
      </c>
      <c r="O103" s="2" t="s">
        <v>111</v>
      </c>
      <c r="P103" s="2" t="s">
        <v>109</v>
      </c>
      <c r="Q103" s="2" t="s">
        <v>111</v>
      </c>
      <c r="R103" s="2" t="s">
        <v>111</v>
      </c>
      <c r="S103" s="2" t="s">
        <v>109</v>
      </c>
      <c r="T103" s="2" t="s">
        <v>111</v>
      </c>
      <c r="U103" s="2" t="s">
        <v>111</v>
      </c>
      <c r="V103" s="2" t="s">
        <v>109</v>
      </c>
      <c r="W103" s="2" t="s">
        <v>111</v>
      </c>
      <c r="X103" s="2" t="s">
        <v>111</v>
      </c>
      <c r="Y103" s="2" t="s">
        <v>111</v>
      </c>
      <c r="Z103" s="2" t="s">
        <v>111</v>
      </c>
      <c r="AA103" s="2" t="s">
        <v>109</v>
      </c>
      <c r="AB103" s="2" t="s">
        <v>109</v>
      </c>
      <c r="AC103" s="2" t="s">
        <v>111</v>
      </c>
      <c r="AD103" s="2" t="s">
        <v>111</v>
      </c>
      <c r="AE103" s="2" t="s">
        <v>111</v>
      </c>
      <c r="AF103" s="2" t="s">
        <v>109</v>
      </c>
      <c r="AG103" s="2" t="s">
        <v>111</v>
      </c>
      <c r="AH103" s="3" t="s">
        <v>111</v>
      </c>
      <c r="AI103" s="2" t="s">
        <v>111</v>
      </c>
      <c r="AJ103" s="2" t="s">
        <v>109</v>
      </c>
      <c r="AK103" s="2">
        <v>90</v>
      </c>
      <c r="AL103" s="2">
        <v>1</v>
      </c>
      <c r="AM103" s="2">
        <v>100</v>
      </c>
      <c r="AN103" s="3" t="s">
        <v>109</v>
      </c>
    </row>
    <row r="104" spans="1:133" x14ac:dyDescent="0.2">
      <c r="A104" s="2" t="s">
        <v>211</v>
      </c>
      <c r="B104" s="2" t="s">
        <v>236</v>
      </c>
      <c r="C104" s="2" t="s">
        <v>166</v>
      </c>
      <c r="D104" s="2" t="s">
        <v>109</v>
      </c>
      <c r="E104" s="2" t="s">
        <v>118</v>
      </c>
      <c r="F104" s="3">
        <v>6</v>
      </c>
      <c r="G104" s="2" t="s">
        <v>109</v>
      </c>
      <c r="H104" s="2" t="s">
        <v>109</v>
      </c>
      <c r="I104" s="2" t="s">
        <v>109</v>
      </c>
      <c r="J104" s="2" t="s">
        <v>109</v>
      </c>
      <c r="K104" s="2" t="s">
        <v>109</v>
      </c>
      <c r="L104" s="2" t="s">
        <v>109</v>
      </c>
      <c r="M104" s="2" t="s">
        <v>109</v>
      </c>
      <c r="N104" s="2" t="s">
        <v>111</v>
      </c>
      <c r="O104" s="2" t="s">
        <v>111</v>
      </c>
      <c r="P104" s="2" t="s">
        <v>109</v>
      </c>
      <c r="Q104" s="2" t="s">
        <v>109</v>
      </c>
      <c r="R104" s="2" t="s">
        <v>111</v>
      </c>
      <c r="S104" s="2" t="s">
        <v>109</v>
      </c>
      <c r="T104" s="2" t="s">
        <v>109</v>
      </c>
      <c r="U104" s="2" t="s">
        <v>111</v>
      </c>
      <c r="AH104" s="3" t="s">
        <v>111</v>
      </c>
      <c r="AI104" s="2" t="s">
        <v>109</v>
      </c>
      <c r="AJ104" s="2" t="s">
        <v>111</v>
      </c>
      <c r="AK104" s="2">
        <v>90</v>
      </c>
      <c r="AL104" s="2">
        <v>10</v>
      </c>
      <c r="AM104" s="2">
        <v>40</v>
      </c>
      <c r="AN104" s="3" t="s">
        <v>109</v>
      </c>
      <c r="AO104" s="2">
        <v>90</v>
      </c>
      <c r="AP104" s="2">
        <v>20</v>
      </c>
      <c r="AQ104" s="2">
        <v>70</v>
      </c>
      <c r="AR104" s="2">
        <v>10</v>
      </c>
      <c r="AS104" s="2">
        <v>10</v>
      </c>
      <c r="AT104" s="2">
        <v>10</v>
      </c>
      <c r="AU104" s="2">
        <v>80</v>
      </c>
      <c r="AV104" s="2">
        <v>10</v>
      </c>
      <c r="AW104" s="2">
        <v>0</v>
      </c>
      <c r="AX104" s="2">
        <v>10</v>
      </c>
      <c r="AY104" s="2">
        <v>80</v>
      </c>
      <c r="AZ104" s="2">
        <v>10</v>
      </c>
      <c r="BA104" s="2">
        <v>10</v>
      </c>
      <c r="BB104" s="2">
        <v>10</v>
      </c>
      <c r="BC104" s="2">
        <v>15</v>
      </c>
      <c r="BU104" s="2">
        <v>8</v>
      </c>
      <c r="BV104" s="2">
        <v>7</v>
      </c>
      <c r="BW104" s="2">
        <v>7</v>
      </c>
      <c r="BX104" s="2">
        <v>5</v>
      </c>
      <c r="BY104" s="2">
        <v>8</v>
      </c>
      <c r="BZ104" s="2">
        <v>8</v>
      </c>
      <c r="CA104" s="2">
        <v>5</v>
      </c>
      <c r="CD104" s="3" t="s">
        <v>109</v>
      </c>
      <c r="CE104" s="2" t="s">
        <v>109</v>
      </c>
      <c r="CF104" s="2" t="s">
        <v>111</v>
      </c>
      <c r="CG104" s="2" t="s">
        <v>111</v>
      </c>
      <c r="CH104" s="2" t="s">
        <v>111</v>
      </c>
      <c r="CI104" s="3" t="s">
        <v>111</v>
      </c>
      <c r="CJ104" s="2" t="s">
        <v>109</v>
      </c>
      <c r="CK104" s="3" t="s">
        <v>111</v>
      </c>
      <c r="CL104" s="3" t="s">
        <v>111</v>
      </c>
      <c r="CM104" s="2">
        <v>170000</v>
      </c>
      <c r="CN104" s="2" t="s">
        <v>117</v>
      </c>
      <c r="CO104" s="3">
        <v>33000</v>
      </c>
      <c r="CP104" s="2">
        <v>40000</v>
      </c>
      <c r="CQ104" s="2">
        <v>2016</v>
      </c>
      <c r="CR104" s="2">
        <v>2016</v>
      </c>
      <c r="CS104" s="2">
        <v>30</v>
      </c>
      <c r="CT104" s="2">
        <v>70</v>
      </c>
      <c r="CU104" s="2">
        <v>40</v>
      </c>
      <c r="CV104" s="2">
        <v>60</v>
      </c>
      <c r="CW104" s="2">
        <v>10</v>
      </c>
      <c r="CX104" s="2">
        <v>10</v>
      </c>
      <c r="CY104" s="2">
        <v>0</v>
      </c>
      <c r="CZ104" s="2">
        <v>10</v>
      </c>
      <c r="DA104" s="2">
        <v>45</v>
      </c>
      <c r="DB104" s="2">
        <v>5</v>
      </c>
      <c r="DC104" s="2">
        <v>15</v>
      </c>
      <c r="DD104" s="2">
        <v>5</v>
      </c>
      <c r="DE104" s="2">
        <v>0</v>
      </c>
      <c r="DG104" s="2">
        <v>25</v>
      </c>
      <c r="DH104" s="2">
        <v>25</v>
      </c>
      <c r="DI104" s="2">
        <v>10</v>
      </c>
      <c r="DJ104" s="2">
        <v>5</v>
      </c>
      <c r="DK104" s="2">
        <v>5</v>
      </c>
      <c r="DL104" s="2">
        <v>10</v>
      </c>
      <c r="DM104" s="2">
        <v>10</v>
      </c>
      <c r="DN104" s="2">
        <v>10</v>
      </c>
      <c r="DO104" s="2">
        <v>0</v>
      </c>
      <c r="DQ104" s="2">
        <v>0.6</v>
      </c>
      <c r="DR104" s="2">
        <v>2</v>
      </c>
      <c r="DS104" s="2">
        <v>2016</v>
      </c>
      <c r="DT104" s="2">
        <v>2016</v>
      </c>
      <c r="DU104" s="3" t="s">
        <v>109</v>
      </c>
      <c r="DV104" s="3" t="s">
        <v>111</v>
      </c>
      <c r="DW104" s="3" t="s">
        <v>111</v>
      </c>
      <c r="DX104" s="3" t="s">
        <v>111</v>
      </c>
      <c r="DY104" s="3" t="s">
        <v>111</v>
      </c>
      <c r="DZ104" s="3" t="s">
        <v>111</v>
      </c>
      <c r="EA104" s="3" t="s">
        <v>111</v>
      </c>
      <c r="EB104" s="3" t="s">
        <v>111</v>
      </c>
    </row>
    <row r="105" spans="1:133" x14ac:dyDescent="0.2">
      <c r="A105" s="8" t="s">
        <v>224</v>
      </c>
      <c r="B105" s="2" t="s">
        <v>238</v>
      </c>
      <c r="C105" s="2" t="s">
        <v>166</v>
      </c>
      <c r="D105" s="2" t="s">
        <v>109</v>
      </c>
      <c r="E105" s="2" t="s">
        <v>120</v>
      </c>
      <c r="F105" s="3">
        <v>2.7</v>
      </c>
      <c r="G105" s="2" t="s">
        <v>111</v>
      </c>
      <c r="L105" s="2" t="s">
        <v>111</v>
      </c>
      <c r="M105" s="2" t="s">
        <v>109</v>
      </c>
      <c r="N105" s="2" t="s">
        <v>111</v>
      </c>
      <c r="O105" s="2" t="s">
        <v>111</v>
      </c>
      <c r="P105" s="2" t="s">
        <v>109</v>
      </c>
      <c r="Q105" s="2" t="s">
        <v>111</v>
      </c>
      <c r="R105" s="2" t="s">
        <v>111</v>
      </c>
      <c r="S105" s="2" t="s">
        <v>109</v>
      </c>
      <c r="T105" s="2" t="s">
        <v>111</v>
      </c>
      <c r="U105" s="2" t="s">
        <v>111</v>
      </c>
      <c r="V105" s="2" t="s">
        <v>109</v>
      </c>
      <c r="W105" s="2" t="s">
        <v>111</v>
      </c>
      <c r="X105" s="2" t="s">
        <v>111</v>
      </c>
      <c r="Y105" s="2" t="s">
        <v>111</v>
      </c>
      <c r="Z105" s="2" t="s">
        <v>111</v>
      </c>
      <c r="AA105" s="2" t="s">
        <v>109</v>
      </c>
      <c r="AB105" s="2" t="s">
        <v>111</v>
      </c>
      <c r="AC105" s="2" t="s">
        <v>111</v>
      </c>
      <c r="AD105" s="2" t="s">
        <v>109</v>
      </c>
      <c r="AE105" s="2" t="s">
        <v>109</v>
      </c>
      <c r="AF105" s="2" t="s">
        <v>109</v>
      </c>
      <c r="AG105" s="2" t="s">
        <v>111</v>
      </c>
      <c r="AH105" s="3" t="s">
        <v>111</v>
      </c>
      <c r="AI105" s="2" t="s">
        <v>111</v>
      </c>
      <c r="AJ105" s="2" t="s">
        <v>109</v>
      </c>
      <c r="AK105" s="2">
        <v>81</v>
      </c>
      <c r="AL105" s="2">
        <v>85</v>
      </c>
      <c r="AM105" s="2">
        <v>22</v>
      </c>
      <c r="AN105" s="3" t="s">
        <v>111</v>
      </c>
    </row>
    <row r="106" spans="1:133" x14ac:dyDescent="0.2">
      <c r="A106" s="8" t="s">
        <v>224</v>
      </c>
      <c r="B106" s="2" t="s">
        <v>238</v>
      </c>
      <c r="C106" s="2" t="s">
        <v>166</v>
      </c>
      <c r="D106" s="2" t="s">
        <v>109</v>
      </c>
      <c r="E106" s="2" t="s">
        <v>120</v>
      </c>
      <c r="F106" s="3">
        <v>5</v>
      </c>
      <c r="G106" s="2" t="s">
        <v>111</v>
      </c>
    </row>
    <row r="107" spans="1:133" x14ac:dyDescent="0.2">
      <c r="A107" s="8" t="s">
        <v>224</v>
      </c>
      <c r="B107" s="2" t="s">
        <v>238</v>
      </c>
      <c r="C107" s="2" t="s">
        <v>166</v>
      </c>
      <c r="D107" s="2" t="s">
        <v>109</v>
      </c>
      <c r="E107" s="2" t="s">
        <v>118</v>
      </c>
      <c r="F107" s="3">
        <v>5.9</v>
      </c>
      <c r="G107" s="2" t="s">
        <v>109</v>
      </c>
      <c r="H107" s="2" t="s">
        <v>109</v>
      </c>
      <c r="I107" s="2" t="s">
        <v>111</v>
      </c>
      <c r="J107" s="2" t="s">
        <v>109</v>
      </c>
      <c r="K107" s="2" t="s">
        <v>109</v>
      </c>
      <c r="L107" s="2" t="s">
        <v>111</v>
      </c>
      <c r="P107" s="2" t="s">
        <v>109</v>
      </c>
      <c r="Q107" s="2" t="s">
        <v>111</v>
      </c>
      <c r="R107" s="2" t="s">
        <v>111</v>
      </c>
      <c r="V107" s="2" t="s">
        <v>109</v>
      </c>
      <c r="W107" s="2" t="s">
        <v>111</v>
      </c>
      <c r="X107" s="2" t="s">
        <v>111</v>
      </c>
      <c r="AK107" s="2">
        <v>98</v>
      </c>
      <c r="AL107" s="2">
        <v>53</v>
      </c>
      <c r="AM107" s="2">
        <v>47</v>
      </c>
      <c r="AN107" s="3" t="s">
        <v>109</v>
      </c>
      <c r="AO107" s="2">
        <v>100</v>
      </c>
      <c r="AP107" s="2">
        <v>100</v>
      </c>
      <c r="AR107" s="2">
        <v>95</v>
      </c>
      <c r="AS107" s="2">
        <v>5</v>
      </c>
      <c r="AV107" s="2">
        <v>100</v>
      </c>
      <c r="BA107" s="2">
        <v>100</v>
      </c>
      <c r="BD107" s="2">
        <v>100</v>
      </c>
      <c r="BE107" s="2">
        <v>100</v>
      </c>
      <c r="BF107" s="2">
        <v>2</v>
      </c>
      <c r="BG107" s="2">
        <v>100</v>
      </c>
      <c r="BU107" s="2">
        <v>8</v>
      </c>
      <c r="BW107" s="2">
        <v>8</v>
      </c>
      <c r="BY107" s="2">
        <v>8</v>
      </c>
      <c r="BZ107" s="2">
        <v>8</v>
      </c>
      <c r="CD107" s="3" t="s">
        <v>111</v>
      </c>
      <c r="CN107" s="2" t="s">
        <v>121</v>
      </c>
      <c r="CO107" s="3">
        <v>1000</v>
      </c>
      <c r="CQ107" s="2">
        <v>2017</v>
      </c>
      <c r="CS107" s="2">
        <v>50</v>
      </c>
      <c r="CT107" s="2">
        <v>50</v>
      </c>
      <c r="CU107" s="2">
        <v>100</v>
      </c>
      <c r="CV107" s="2">
        <v>0</v>
      </c>
      <c r="CW107" s="2">
        <v>0</v>
      </c>
      <c r="CX107" s="2">
        <v>0</v>
      </c>
      <c r="CY107" s="2">
        <v>0</v>
      </c>
      <c r="CZ107" s="2">
        <v>0</v>
      </c>
      <c r="DA107" s="2">
        <v>0</v>
      </c>
      <c r="DB107" s="2">
        <v>0</v>
      </c>
      <c r="DC107" s="2">
        <v>50</v>
      </c>
      <c r="DD107" s="2">
        <v>0</v>
      </c>
      <c r="DE107" s="2">
        <v>50</v>
      </c>
      <c r="DF107" s="2" t="s">
        <v>143</v>
      </c>
      <c r="DG107" s="2">
        <v>50</v>
      </c>
      <c r="DH107" s="2">
        <v>0</v>
      </c>
      <c r="DI107" s="2">
        <v>0</v>
      </c>
      <c r="DJ107" s="2">
        <v>0</v>
      </c>
      <c r="DK107" s="2">
        <v>0</v>
      </c>
      <c r="DL107" s="2">
        <v>0</v>
      </c>
      <c r="DM107" s="2">
        <v>0</v>
      </c>
      <c r="DN107" s="2">
        <v>50</v>
      </c>
      <c r="DO107" s="2">
        <v>0</v>
      </c>
      <c r="DQ107" s="2">
        <v>2</v>
      </c>
      <c r="DR107" s="2">
        <v>6</v>
      </c>
      <c r="DS107" s="2">
        <v>2017</v>
      </c>
      <c r="DT107" s="2">
        <v>2017</v>
      </c>
      <c r="DU107" s="3" t="s">
        <v>109</v>
      </c>
      <c r="DV107" s="3" t="s">
        <v>111</v>
      </c>
      <c r="DW107" s="3" t="s">
        <v>111</v>
      </c>
      <c r="DX107" s="3" t="s">
        <v>111</v>
      </c>
      <c r="DY107" s="3" t="s">
        <v>111</v>
      </c>
      <c r="DZ107" s="3" t="s">
        <v>111</v>
      </c>
      <c r="EA107" s="3" t="s">
        <v>111</v>
      </c>
      <c r="EB107" s="3" t="s">
        <v>111</v>
      </c>
    </row>
    <row r="108" spans="1:133" x14ac:dyDescent="0.2">
      <c r="A108" s="2" t="s">
        <v>211</v>
      </c>
      <c r="B108" s="2" t="s">
        <v>236</v>
      </c>
      <c r="C108" s="2" t="s">
        <v>166</v>
      </c>
      <c r="D108" s="2" t="s">
        <v>109</v>
      </c>
      <c r="E108" s="2" t="s">
        <v>110</v>
      </c>
      <c r="F108" s="3">
        <v>0.5</v>
      </c>
      <c r="G108" s="2" t="s">
        <v>119</v>
      </c>
    </row>
    <row r="109" spans="1:133" x14ac:dyDescent="0.2">
      <c r="A109" s="8" t="s">
        <v>224</v>
      </c>
      <c r="B109" s="2" t="s">
        <v>238</v>
      </c>
      <c r="C109" s="2" t="s">
        <v>166</v>
      </c>
      <c r="D109" s="2" t="s">
        <v>109</v>
      </c>
      <c r="E109" s="2" t="s">
        <v>122</v>
      </c>
      <c r="F109" s="3">
        <v>1</v>
      </c>
      <c r="G109" s="2" t="s">
        <v>111</v>
      </c>
      <c r="L109" s="2" t="s">
        <v>111</v>
      </c>
      <c r="M109" s="2" t="s">
        <v>109</v>
      </c>
      <c r="N109" s="2" t="s">
        <v>111</v>
      </c>
      <c r="O109" s="2" t="s">
        <v>111</v>
      </c>
      <c r="P109" s="2" t="s">
        <v>109</v>
      </c>
      <c r="Q109" s="2" t="s">
        <v>111</v>
      </c>
      <c r="R109" s="2" t="s">
        <v>111</v>
      </c>
      <c r="S109" s="2" t="s">
        <v>109</v>
      </c>
      <c r="T109" s="2" t="s">
        <v>111</v>
      </c>
      <c r="U109" s="2" t="s">
        <v>111</v>
      </c>
      <c r="V109" s="2" t="s">
        <v>111</v>
      </c>
      <c r="W109" s="2" t="s">
        <v>111</v>
      </c>
      <c r="X109" s="2" t="s">
        <v>109</v>
      </c>
      <c r="Y109" s="2" t="s">
        <v>111</v>
      </c>
      <c r="Z109" s="2" t="s">
        <v>111</v>
      </c>
      <c r="AA109" s="2" t="s">
        <v>109</v>
      </c>
      <c r="AB109" s="2" t="s">
        <v>109</v>
      </c>
      <c r="AC109" s="2" t="s">
        <v>111</v>
      </c>
      <c r="AD109" s="2" t="s">
        <v>111</v>
      </c>
      <c r="AE109" s="2" t="s">
        <v>111</v>
      </c>
      <c r="AF109" s="2" t="s">
        <v>111</v>
      </c>
      <c r="AG109" s="2" t="s">
        <v>109</v>
      </c>
      <c r="AH109" s="3" t="s">
        <v>111</v>
      </c>
      <c r="AI109" s="2" t="s">
        <v>111</v>
      </c>
      <c r="AJ109" s="2" t="s">
        <v>109</v>
      </c>
      <c r="AK109" s="2">
        <v>10</v>
      </c>
      <c r="AL109" s="2">
        <v>75</v>
      </c>
      <c r="AM109" s="2">
        <v>25</v>
      </c>
      <c r="AN109" s="3" t="s">
        <v>111</v>
      </c>
    </row>
    <row r="110" spans="1:133" x14ac:dyDescent="0.2">
      <c r="A110" s="8" t="s">
        <v>224</v>
      </c>
      <c r="B110" s="2" t="s">
        <v>238</v>
      </c>
      <c r="C110" s="2" t="s">
        <v>166</v>
      </c>
      <c r="D110" s="2" t="s">
        <v>109</v>
      </c>
      <c r="E110" s="2" t="s">
        <v>120</v>
      </c>
      <c r="F110" s="3">
        <v>2.5</v>
      </c>
      <c r="G110" s="2" t="s">
        <v>109</v>
      </c>
      <c r="H110" s="2" t="s">
        <v>109</v>
      </c>
      <c r="I110" s="2" t="s">
        <v>111</v>
      </c>
      <c r="J110" s="2" t="s">
        <v>109</v>
      </c>
      <c r="K110" s="2" t="s">
        <v>111</v>
      </c>
      <c r="L110" s="2" t="s">
        <v>119</v>
      </c>
      <c r="M110" s="2" t="s">
        <v>109</v>
      </c>
      <c r="N110" s="2" t="s">
        <v>111</v>
      </c>
      <c r="O110" s="2" t="s">
        <v>111</v>
      </c>
      <c r="P110" s="2" t="s">
        <v>109</v>
      </c>
      <c r="Q110" s="2" t="s">
        <v>111</v>
      </c>
      <c r="R110" s="2" t="s">
        <v>111</v>
      </c>
      <c r="S110" s="2" t="s">
        <v>109</v>
      </c>
      <c r="T110" s="2" t="s">
        <v>111</v>
      </c>
      <c r="U110" s="2" t="s">
        <v>111</v>
      </c>
      <c r="V110" s="2" t="s">
        <v>109</v>
      </c>
      <c r="W110" s="2" t="s">
        <v>111</v>
      </c>
      <c r="X110" s="2" t="s">
        <v>111</v>
      </c>
      <c r="AB110" s="2" t="s">
        <v>109</v>
      </c>
      <c r="AC110" s="2" t="s">
        <v>111</v>
      </c>
      <c r="AD110" s="2" t="s">
        <v>111</v>
      </c>
      <c r="AE110" s="2" t="s">
        <v>109</v>
      </c>
      <c r="AF110" s="2" t="s">
        <v>111</v>
      </c>
      <c r="AG110" s="2" t="s">
        <v>111</v>
      </c>
      <c r="AH110" s="3" t="s">
        <v>111</v>
      </c>
      <c r="AI110" s="2" t="s">
        <v>111</v>
      </c>
      <c r="AJ110" s="2" t="s">
        <v>109</v>
      </c>
      <c r="AK110" s="2">
        <v>76</v>
      </c>
      <c r="AL110" s="2">
        <v>2</v>
      </c>
      <c r="AM110" s="2">
        <v>100</v>
      </c>
      <c r="AN110" s="3" t="s">
        <v>109</v>
      </c>
      <c r="AO110" s="2">
        <v>9</v>
      </c>
      <c r="AP110" s="2">
        <v>10</v>
      </c>
      <c r="AQ110" s="2">
        <v>75</v>
      </c>
      <c r="AS110" s="2">
        <v>20</v>
      </c>
      <c r="AT110" s="2">
        <v>5</v>
      </c>
      <c r="AU110" s="2">
        <v>100</v>
      </c>
      <c r="AY110" s="2">
        <v>100</v>
      </c>
      <c r="AZ110" s="2">
        <v>100</v>
      </c>
      <c r="BA110" s="2">
        <v>5</v>
      </c>
      <c r="BB110" s="2">
        <v>5</v>
      </c>
      <c r="BC110" s="2">
        <v>25</v>
      </c>
      <c r="BD110" s="2">
        <v>1</v>
      </c>
      <c r="BE110" s="2">
        <v>1</v>
      </c>
      <c r="BF110" s="2">
        <v>1</v>
      </c>
      <c r="BG110" s="2">
        <v>1</v>
      </c>
      <c r="BH110" s="2">
        <v>1</v>
      </c>
      <c r="BI110" s="2">
        <v>1</v>
      </c>
      <c r="BJ110" s="2">
        <v>1</v>
      </c>
      <c r="BK110" s="2">
        <v>1</v>
      </c>
      <c r="BP110" s="2">
        <v>1</v>
      </c>
      <c r="BQ110" s="2">
        <v>1</v>
      </c>
      <c r="BS110" s="2">
        <v>1</v>
      </c>
      <c r="BU110" s="2">
        <v>7</v>
      </c>
      <c r="BV110" s="2">
        <v>6</v>
      </c>
      <c r="BW110" s="2">
        <v>8</v>
      </c>
      <c r="BX110" s="2">
        <v>4</v>
      </c>
      <c r="BY110" s="2">
        <v>7</v>
      </c>
      <c r="BZ110" s="2">
        <v>5</v>
      </c>
      <c r="CA110" s="2">
        <v>1</v>
      </c>
      <c r="CD110" s="3" t="s">
        <v>111</v>
      </c>
      <c r="CN110" s="2" t="s">
        <v>117</v>
      </c>
      <c r="CO110" s="3">
        <v>2000</v>
      </c>
      <c r="CQ110" s="2">
        <v>2017</v>
      </c>
      <c r="CS110" s="2">
        <v>50</v>
      </c>
      <c r="CT110" s="2">
        <v>50</v>
      </c>
      <c r="CU110" s="2">
        <v>100</v>
      </c>
      <c r="CV110" s="2">
        <v>0</v>
      </c>
      <c r="CW110" s="2">
        <v>80</v>
      </c>
      <c r="CX110" s="2">
        <v>10</v>
      </c>
      <c r="CY110" s="2">
        <v>0</v>
      </c>
      <c r="CZ110" s="2">
        <v>0</v>
      </c>
      <c r="DA110" s="2">
        <v>10</v>
      </c>
      <c r="DB110" s="2">
        <v>0</v>
      </c>
      <c r="DC110" s="2">
        <v>0</v>
      </c>
      <c r="DD110" s="2">
        <v>0</v>
      </c>
      <c r="DE110" s="2">
        <v>0</v>
      </c>
      <c r="DG110" s="2">
        <v>60</v>
      </c>
      <c r="DH110" s="2">
        <v>5</v>
      </c>
      <c r="DI110" s="2">
        <v>0</v>
      </c>
      <c r="DJ110" s="2">
        <v>10</v>
      </c>
      <c r="DK110" s="2">
        <v>0</v>
      </c>
      <c r="DL110" s="2">
        <v>10</v>
      </c>
      <c r="DM110" s="2">
        <v>0</v>
      </c>
      <c r="DN110" s="2">
        <v>15</v>
      </c>
      <c r="DO110" s="2">
        <v>0</v>
      </c>
      <c r="DQ110" s="2">
        <v>1</v>
      </c>
      <c r="DR110" s="2">
        <v>6</v>
      </c>
      <c r="DS110" s="2">
        <v>2017</v>
      </c>
      <c r="DT110" s="2">
        <v>2017</v>
      </c>
      <c r="DU110" s="3" t="s">
        <v>109</v>
      </c>
      <c r="DV110" s="3" t="s">
        <v>111</v>
      </c>
      <c r="DW110" s="3" t="s">
        <v>111</v>
      </c>
      <c r="DX110" s="3" t="s">
        <v>109</v>
      </c>
      <c r="DY110" s="3" t="s">
        <v>111</v>
      </c>
      <c r="DZ110" s="3" t="s">
        <v>111</v>
      </c>
      <c r="EA110" s="3" t="s">
        <v>111</v>
      </c>
      <c r="EB110" s="3" t="s">
        <v>111</v>
      </c>
      <c r="EC110" s="3" t="s">
        <v>111</v>
      </c>
    </row>
    <row r="111" spans="1:133" x14ac:dyDescent="0.2">
      <c r="A111" s="2" t="s">
        <v>216</v>
      </c>
      <c r="B111" s="2" t="s">
        <v>238</v>
      </c>
      <c r="C111" s="2" t="s">
        <v>166</v>
      </c>
      <c r="D111" s="2" t="s">
        <v>109</v>
      </c>
      <c r="E111" s="2" t="s">
        <v>112</v>
      </c>
      <c r="F111" s="3">
        <v>1.2</v>
      </c>
      <c r="G111" s="2" t="s">
        <v>109</v>
      </c>
      <c r="H111" s="2" t="s">
        <v>111</v>
      </c>
      <c r="I111" s="2" t="s">
        <v>109</v>
      </c>
      <c r="J111" s="2" t="s">
        <v>109</v>
      </c>
      <c r="K111" s="2" t="s">
        <v>111</v>
      </c>
      <c r="L111" s="2" t="s">
        <v>111</v>
      </c>
      <c r="M111" s="2" t="s">
        <v>109</v>
      </c>
      <c r="N111" s="2" t="s">
        <v>111</v>
      </c>
      <c r="O111" s="2" t="s">
        <v>111</v>
      </c>
      <c r="P111" s="2" t="s">
        <v>109</v>
      </c>
      <c r="Q111" s="2" t="s">
        <v>111</v>
      </c>
      <c r="R111" s="2" t="s">
        <v>111</v>
      </c>
      <c r="S111" s="2" t="s">
        <v>109</v>
      </c>
      <c r="T111" s="2" t="s">
        <v>111</v>
      </c>
      <c r="U111" s="2" t="s">
        <v>111</v>
      </c>
      <c r="V111" s="2" t="s">
        <v>109</v>
      </c>
      <c r="W111" s="2" t="s">
        <v>111</v>
      </c>
      <c r="X111" s="2" t="s">
        <v>111</v>
      </c>
      <c r="Y111" s="2" t="s">
        <v>111</v>
      </c>
      <c r="Z111" s="2" t="s">
        <v>111</v>
      </c>
      <c r="AA111" s="2" t="s">
        <v>109</v>
      </c>
      <c r="AB111" s="2" t="s">
        <v>111</v>
      </c>
      <c r="AC111" s="2" t="s">
        <v>111</v>
      </c>
      <c r="AD111" s="2" t="s">
        <v>109</v>
      </c>
      <c r="AE111" s="2" t="s">
        <v>109</v>
      </c>
      <c r="AF111" s="2" t="s">
        <v>109</v>
      </c>
      <c r="AG111" s="2" t="s">
        <v>111</v>
      </c>
      <c r="AH111" s="3" t="s">
        <v>109</v>
      </c>
      <c r="AI111" s="2" t="s">
        <v>109</v>
      </c>
      <c r="AJ111" s="2" t="s">
        <v>111</v>
      </c>
      <c r="AK111" s="2">
        <v>70</v>
      </c>
      <c r="AL111" s="2">
        <v>70</v>
      </c>
      <c r="AM111" s="2">
        <v>30</v>
      </c>
      <c r="AN111" s="3" t="s">
        <v>109</v>
      </c>
    </row>
    <row r="112" spans="1:133" s="3" customFormat="1" x14ac:dyDescent="0.2">
      <c r="A112" s="8" t="s">
        <v>224</v>
      </c>
      <c r="B112" s="2" t="s">
        <v>238</v>
      </c>
      <c r="C112" s="2" t="s">
        <v>166</v>
      </c>
      <c r="D112" s="2" t="s">
        <v>109</v>
      </c>
      <c r="E112" s="2" t="s">
        <v>122</v>
      </c>
      <c r="F112" s="3">
        <v>0</v>
      </c>
      <c r="G112" s="2" t="s">
        <v>109</v>
      </c>
      <c r="H112" s="2" t="s">
        <v>109</v>
      </c>
      <c r="I112" s="2" t="s">
        <v>111</v>
      </c>
      <c r="J112" s="2" t="s">
        <v>109</v>
      </c>
      <c r="K112" s="2" t="s">
        <v>111</v>
      </c>
      <c r="L112" s="2" t="s">
        <v>111</v>
      </c>
      <c r="M112" s="2" t="s">
        <v>109</v>
      </c>
      <c r="N112" s="2" t="s">
        <v>111</v>
      </c>
      <c r="O112" s="2" t="s">
        <v>111</v>
      </c>
      <c r="P112" s="2" t="s">
        <v>109</v>
      </c>
      <c r="Q112" s="2" t="s">
        <v>111</v>
      </c>
      <c r="R112" s="2" t="s">
        <v>111</v>
      </c>
      <c r="S112" s="2" t="s">
        <v>109</v>
      </c>
      <c r="T112" s="2" t="s">
        <v>111</v>
      </c>
      <c r="U112" s="2" t="s">
        <v>111</v>
      </c>
      <c r="V112" s="2" t="s">
        <v>109</v>
      </c>
      <c r="W112" s="2" t="s">
        <v>111</v>
      </c>
      <c r="X112" s="2" t="s">
        <v>111</v>
      </c>
      <c r="Y112" s="2" t="s">
        <v>109</v>
      </c>
      <c r="Z112" s="2" t="s">
        <v>111</v>
      </c>
      <c r="AA112" s="2" t="s">
        <v>111</v>
      </c>
      <c r="AB112" s="2" t="s">
        <v>109</v>
      </c>
      <c r="AC112" s="2" t="s">
        <v>111</v>
      </c>
      <c r="AD112" s="2" t="s">
        <v>111</v>
      </c>
      <c r="AE112" s="2" t="s">
        <v>109</v>
      </c>
      <c r="AF112" s="2" t="s">
        <v>111</v>
      </c>
      <c r="AG112" s="2" t="s">
        <v>111</v>
      </c>
      <c r="AI112" s="2"/>
      <c r="AJ112" s="2"/>
      <c r="AK112" s="2">
        <v>70</v>
      </c>
      <c r="AL112" s="2">
        <v>20</v>
      </c>
      <c r="AM112" s="2">
        <v>80</v>
      </c>
      <c r="AN112" s="3" t="s">
        <v>109</v>
      </c>
      <c r="AO112" s="2">
        <v>20</v>
      </c>
      <c r="AP112" s="2">
        <v>20</v>
      </c>
      <c r="AQ112" s="2">
        <v>95</v>
      </c>
      <c r="AR112" s="2"/>
      <c r="AS112" s="2"/>
      <c r="AT112" s="2">
        <v>5</v>
      </c>
      <c r="AU112" s="2"/>
      <c r="AV112" s="2"/>
      <c r="AW112" s="2"/>
      <c r="AX112" s="2">
        <v>100</v>
      </c>
      <c r="AY112" s="2"/>
      <c r="AZ112" s="2"/>
      <c r="BA112" s="2">
        <v>100</v>
      </c>
      <c r="BB112" s="2"/>
      <c r="BC112" s="2"/>
      <c r="BD112" s="2"/>
      <c r="BE112" s="2"/>
      <c r="BF112" s="2"/>
      <c r="BG112" s="2"/>
      <c r="BH112" s="2"/>
      <c r="BI112" s="2"/>
      <c r="BJ112" s="2"/>
      <c r="BK112" s="2"/>
      <c r="BL112" s="2"/>
      <c r="BM112" s="2"/>
      <c r="BN112" s="2"/>
      <c r="BO112" s="2"/>
      <c r="BP112" s="2"/>
      <c r="BQ112" s="2"/>
      <c r="BR112" s="2"/>
      <c r="BS112" s="2"/>
      <c r="BT112" s="2" t="s">
        <v>141</v>
      </c>
      <c r="BU112" s="2">
        <v>8</v>
      </c>
      <c r="BV112" s="2">
        <v>7</v>
      </c>
      <c r="BW112" s="2">
        <v>8</v>
      </c>
      <c r="BX112" s="2">
        <v>7</v>
      </c>
      <c r="BY112" s="2">
        <v>8</v>
      </c>
      <c r="BZ112" s="2">
        <v>8</v>
      </c>
      <c r="CA112" s="2">
        <v>1</v>
      </c>
      <c r="CB112" s="2"/>
      <c r="CC112" s="2"/>
      <c r="CD112" s="3" t="s">
        <v>119</v>
      </c>
      <c r="CE112" s="2"/>
      <c r="CF112" s="2"/>
      <c r="CG112" s="2"/>
      <c r="CH112" s="2"/>
      <c r="CJ112" s="2"/>
      <c r="CK112" s="2"/>
      <c r="CL112" s="2"/>
      <c r="CM112" s="2"/>
      <c r="CN112" s="2" t="s">
        <v>117</v>
      </c>
      <c r="CP112" s="2"/>
      <c r="CQ112" s="2"/>
      <c r="CR112" s="2"/>
      <c r="CS112" s="2">
        <v>90</v>
      </c>
      <c r="CT112" s="2">
        <v>10</v>
      </c>
      <c r="CU112" s="2">
        <v>40</v>
      </c>
      <c r="CV112" s="2">
        <v>60</v>
      </c>
      <c r="CW112" s="2">
        <v>0</v>
      </c>
      <c r="CX112" s="2">
        <v>0</v>
      </c>
      <c r="CY112" s="2">
        <v>0</v>
      </c>
      <c r="CZ112" s="2">
        <v>0</v>
      </c>
      <c r="DA112" s="2">
        <v>100</v>
      </c>
      <c r="DB112" s="2">
        <v>0</v>
      </c>
      <c r="DC112" s="2">
        <v>0</v>
      </c>
      <c r="DD112" s="2">
        <v>0</v>
      </c>
      <c r="DE112" s="2">
        <v>0</v>
      </c>
      <c r="DF112" s="2"/>
      <c r="DG112" s="2">
        <v>0</v>
      </c>
      <c r="DH112" s="2">
        <v>80</v>
      </c>
      <c r="DI112" s="2">
        <v>0</v>
      </c>
      <c r="DJ112" s="2">
        <v>0</v>
      </c>
      <c r="DK112" s="2">
        <v>20</v>
      </c>
      <c r="DL112" s="2">
        <v>0</v>
      </c>
      <c r="DM112" s="2">
        <v>0</v>
      </c>
      <c r="DN112" s="3">
        <v>0</v>
      </c>
      <c r="DO112" s="2">
        <v>0</v>
      </c>
      <c r="DP112" s="2"/>
      <c r="DQ112" s="2"/>
      <c r="DR112" s="2">
        <v>0.5</v>
      </c>
      <c r="DS112" s="2"/>
      <c r="DT112" s="2"/>
      <c r="DU112" s="3" t="s">
        <v>109</v>
      </c>
      <c r="DV112" s="3" t="s">
        <v>111</v>
      </c>
      <c r="DW112" s="3" t="s">
        <v>111</v>
      </c>
      <c r="DX112" s="3" t="s">
        <v>109</v>
      </c>
      <c r="DY112" s="3" t="s">
        <v>111</v>
      </c>
      <c r="DZ112" s="3" t="s">
        <v>111</v>
      </c>
      <c r="EA112" s="3" t="s">
        <v>111</v>
      </c>
      <c r="EB112" s="3" t="s">
        <v>111</v>
      </c>
      <c r="EC112" s="3" t="s">
        <v>111</v>
      </c>
    </row>
    <row r="113" spans="1:133" x14ac:dyDescent="0.2">
      <c r="A113" s="8" t="s">
        <v>223</v>
      </c>
      <c r="B113" s="2" t="s">
        <v>237</v>
      </c>
      <c r="C113" s="2" t="s">
        <v>166</v>
      </c>
      <c r="D113" s="2" t="s">
        <v>109</v>
      </c>
      <c r="E113" s="2" t="s">
        <v>114</v>
      </c>
      <c r="F113" s="3">
        <v>80</v>
      </c>
      <c r="G113" s="2" t="s">
        <v>111</v>
      </c>
      <c r="L113" s="2" t="s">
        <v>111</v>
      </c>
      <c r="M113" s="2" t="s">
        <v>109</v>
      </c>
      <c r="N113" s="2" t="s">
        <v>109</v>
      </c>
      <c r="O113" s="2" t="s">
        <v>111</v>
      </c>
      <c r="P113" s="2" t="s">
        <v>109</v>
      </c>
      <c r="Q113" s="2" t="s">
        <v>109</v>
      </c>
      <c r="R113" s="2" t="s">
        <v>111</v>
      </c>
      <c r="S113" s="2" t="s">
        <v>109</v>
      </c>
      <c r="T113" s="2" t="s">
        <v>109</v>
      </c>
      <c r="U113" s="2" t="s">
        <v>111</v>
      </c>
      <c r="V113" s="2" t="s">
        <v>111</v>
      </c>
      <c r="W113" s="2" t="s">
        <v>111</v>
      </c>
      <c r="X113" s="2" t="s">
        <v>109</v>
      </c>
      <c r="Y113" s="2" t="s">
        <v>111</v>
      </c>
      <c r="Z113" s="2" t="s">
        <v>111</v>
      </c>
      <c r="AA113" s="2" t="s">
        <v>109</v>
      </c>
      <c r="AB113" s="2" t="s">
        <v>111</v>
      </c>
      <c r="AC113" s="2" t="s">
        <v>111</v>
      </c>
      <c r="AD113" s="2" t="s">
        <v>109</v>
      </c>
      <c r="AE113" s="2" t="s">
        <v>111</v>
      </c>
      <c r="AF113" s="2" t="s">
        <v>111</v>
      </c>
      <c r="AG113" s="2" t="s">
        <v>109</v>
      </c>
      <c r="AH113" s="3" t="s">
        <v>111</v>
      </c>
      <c r="AI113" s="2" t="s">
        <v>111</v>
      </c>
      <c r="AJ113" s="2" t="s">
        <v>109</v>
      </c>
      <c r="AK113" s="2">
        <v>85</v>
      </c>
      <c r="AL113" s="2">
        <v>20</v>
      </c>
      <c r="AM113" s="2">
        <v>80</v>
      </c>
      <c r="AN113" s="3" t="s">
        <v>109</v>
      </c>
      <c r="AO113" s="2">
        <v>100</v>
      </c>
      <c r="AP113" s="2">
        <v>50</v>
      </c>
      <c r="AQ113" s="2">
        <v>10</v>
      </c>
      <c r="AR113" s="2">
        <v>20</v>
      </c>
      <c r="AS113" s="2">
        <v>70</v>
      </c>
      <c r="AU113" s="2">
        <v>100</v>
      </c>
      <c r="AZ113" s="2">
        <v>10</v>
      </c>
      <c r="BA113" s="2">
        <v>90</v>
      </c>
      <c r="BB113" s="2">
        <v>90</v>
      </c>
      <c r="BC113" s="2">
        <v>95</v>
      </c>
      <c r="BD113" s="2">
        <v>75</v>
      </c>
      <c r="BU113" s="2">
        <v>8</v>
      </c>
      <c r="BV113" s="2">
        <v>7</v>
      </c>
      <c r="BW113" s="2">
        <v>8</v>
      </c>
      <c r="BX113" s="2">
        <v>1</v>
      </c>
      <c r="BY113" s="2">
        <v>1</v>
      </c>
      <c r="BZ113" s="2">
        <v>6</v>
      </c>
      <c r="CA113" s="2">
        <v>1</v>
      </c>
      <c r="CD113" s="3" t="s">
        <v>109</v>
      </c>
      <c r="CE113" s="2" t="s">
        <v>109</v>
      </c>
      <c r="CF113" s="2" t="s">
        <v>109</v>
      </c>
      <c r="CG113" s="2" t="s">
        <v>111</v>
      </c>
      <c r="CH113" s="2" t="s">
        <v>109</v>
      </c>
      <c r="CI113" s="3" t="s">
        <v>109</v>
      </c>
      <c r="CJ113" s="2" t="s">
        <v>109</v>
      </c>
      <c r="CK113" s="2" t="s">
        <v>109</v>
      </c>
      <c r="CL113" s="2" t="s">
        <v>140</v>
      </c>
      <c r="CM113" s="5">
        <v>2500000</v>
      </c>
      <c r="CN113" s="2" t="s">
        <v>113</v>
      </c>
      <c r="CO113" s="55">
        <v>3000000</v>
      </c>
      <c r="CQ113" s="2">
        <v>2016</v>
      </c>
      <c r="CS113" s="2">
        <v>70</v>
      </c>
      <c r="CT113" s="2">
        <v>30</v>
      </c>
      <c r="CU113" s="2">
        <v>95</v>
      </c>
      <c r="CV113" s="2">
        <v>5</v>
      </c>
      <c r="CW113" s="2">
        <v>5</v>
      </c>
      <c r="CX113" s="2">
        <v>30</v>
      </c>
      <c r="CY113" s="2">
        <v>0</v>
      </c>
      <c r="CZ113" s="2">
        <v>10</v>
      </c>
      <c r="DA113" s="2">
        <v>10</v>
      </c>
      <c r="DB113" s="2">
        <v>5</v>
      </c>
      <c r="DC113" s="2">
        <v>25</v>
      </c>
      <c r="DD113" s="2">
        <v>15</v>
      </c>
      <c r="DE113" s="2">
        <v>0</v>
      </c>
      <c r="DG113" s="2">
        <v>25</v>
      </c>
      <c r="DH113" s="2">
        <v>25</v>
      </c>
      <c r="DI113" s="2">
        <v>0</v>
      </c>
      <c r="DJ113" s="2">
        <v>10</v>
      </c>
      <c r="DK113" s="2">
        <v>5</v>
      </c>
      <c r="DL113" s="2">
        <v>25</v>
      </c>
      <c r="DM113" s="2">
        <v>5</v>
      </c>
      <c r="DN113" s="2">
        <v>5</v>
      </c>
      <c r="DO113" s="2">
        <v>0</v>
      </c>
      <c r="DQ113" s="2">
        <v>7</v>
      </c>
      <c r="DR113" s="2">
        <v>0</v>
      </c>
      <c r="DS113" s="2">
        <v>2016</v>
      </c>
      <c r="DU113" s="3" t="s">
        <v>109</v>
      </c>
      <c r="DV113" s="3" t="s">
        <v>109</v>
      </c>
      <c r="DW113" s="3" t="s">
        <v>111</v>
      </c>
      <c r="DX113" s="3" t="s">
        <v>111</v>
      </c>
      <c r="DY113" s="3" t="s">
        <v>111</v>
      </c>
      <c r="DZ113" s="3" t="s">
        <v>111</v>
      </c>
      <c r="EA113" s="3" t="s">
        <v>111</v>
      </c>
      <c r="EB113" s="3" t="s">
        <v>111</v>
      </c>
      <c r="EC113" s="3" t="s">
        <v>111</v>
      </c>
    </row>
    <row r="114" spans="1:133" x14ac:dyDescent="0.2">
      <c r="A114" s="2" t="s">
        <v>216</v>
      </c>
      <c r="B114" s="2" t="s">
        <v>238</v>
      </c>
      <c r="C114" s="2" t="s">
        <v>166</v>
      </c>
      <c r="D114" s="2" t="s">
        <v>109</v>
      </c>
      <c r="G114" s="2" t="s">
        <v>109</v>
      </c>
      <c r="H114" s="2" t="s">
        <v>111</v>
      </c>
      <c r="I114" s="2" t="s">
        <v>111</v>
      </c>
      <c r="J114" s="2" t="s">
        <v>109</v>
      </c>
      <c r="K114" s="2" t="s">
        <v>109</v>
      </c>
      <c r="L114" s="2" t="s">
        <v>111</v>
      </c>
      <c r="M114" s="2" t="s">
        <v>111</v>
      </c>
      <c r="N114" s="2" t="s">
        <v>111</v>
      </c>
      <c r="O114" s="2" t="s">
        <v>109</v>
      </c>
      <c r="P114" s="2" t="s">
        <v>109</v>
      </c>
      <c r="Q114" s="2" t="s">
        <v>109</v>
      </c>
      <c r="R114" s="2" t="s">
        <v>111</v>
      </c>
      <c r="V114" s="2" t="s">
        <v>111</v>
      </c>
      <c r="W114" s="2" t="s">
        <v>111</v>
      </c>
      <c r="X114" s="2" t="s">
        <v>109</v>
      </c>
      <c r="Y114" s="2" t="s">
        <v>111</v>
      </c>
      <c r="Z114" s="2" t="s">
        <v>111</v>
      </c>
      <c r="AA114" s="2" t="s">
        <v>109</v>
      </c>
      <c r="AB114" s="2" t="s">
        <v>111</v>
      </c>
      <c r="AC114" s="2" t="s">
        <v>111</v>
      </c>
      <c r="AD114" s="2" t="s">
        <v>109</v>
      </c>
      <c r="AE114" s="2" t="s">
        <v>111</v>
      </c>
      <c r="AF114" s="2" t="s">
        <v>111</v>
      </c>
      <c r="AG114" s="2" t="s">
        <v>109</v>
      </c>
      <c r="AH114" s="3" t="s">
        <v>111</v>
      </c>
      <c r="AI114" s="2" t="s">
        <v>111</v>
      </c>
      <c r="AJ114" s="2" t="s">
        <v>109</v>
      </c>
      <c r="AK114" s="2">
        <v>100</v>
      </c>
      <c r="AL114" s="2">
        <v>100</v>
      </c>
      <c r="AM114" s="2">
        <v>0</v>
      </c>
      <c r="AN114" s="3" t="s">
        <v>109</v>
      </c>
      <c r="AO114" s="2">
        <v>50</v>
      </c>
      <c r="AP114" s="2">
        <v>90</v>
      </c>
      <c r="AY114" s="2">
        <v>100</v>
      </c>
      <c r="AZ114" s="2">
        <v>90</v>
      </c>
      <c r="BA114" s="2">
        <v>90</v>
      </c>
      <c r="BB114" s="2">
        <v>90</v>
      </c>
      <c r="BC114" s="2">
        <v>100</v>
      </c>
      <c r="BU114" s="2">
        <v>10</v>
      </c>
      <c r="BV114" s="2">
        <v>7</v>
      </c>
      <c r="BW114" s="2">
        <v>9</v>
      </c>
      <c r="BX114" s="2">
        <v>6</v>
      </c>
      <c r="BY114" s="2">
        <v>9</v>
      </c>
      <c r="BZ114" s="2">
        <v>6</v>
      </c>
      <c r="CA114" s="2">
        <v>7</v>
      </c>
      <c r="CD114" s="3" t="s">
        <v>109</v>
      </c>
      <c r="CE114" s="2" t="s">
        <v>109</v>
      </c>
      <c r="CF114" s="2" t="s">
        <v>111</v>
      </c>
      <c r="CG114" s="2" t="s">
        <v>111</v>
      </c>
      <c r="CH114" s="2" t="s">
        <v>111</v>
      </c>
      <c r="CI114" s="3" t="s">
        <v>111</v>
      </c>
      <c r="CJ114" s="3" t="s">
        <v>111</v>
      </c>
      <c r="CK114" s="3" t="s">
        <v>111</v>
      </c>
      <c r="CL114" s="3" t="s">
        <v>111</v>
      </c>
    </row>
    <row r="115" spans="1:133" x14ac:dyDescent="0.2">
      <c r="A115" s="2" t="s">
        <v>231</v>
      </c>
      <c r="B115" s="2" t="s">
        <v>238</v>
      </c>
      <c r="C115" s="2" t="s">
        <v>166</v>
      </c>
      <c r="D115" s="2" t="s">
        <v>109</v>
      </c>
      <c r="E115" s="2" t="s">
        <v>112</v>
      </c>
      <c r="F115" s="3">
        <v>1.5</v>
      </c>
      <c r="G115" s="2" t="s">
        <v>109</v>
      </c>
      <c r="H115" s="2" t="s">
        <v>109</v>
      </c>
      <c r="I115" s="2" t="s">
        <v>111</v>
      </c>
      <c r="J115" s="2" t="s">
        <v>109</v>
      </c>
      <c r="K115" s="2" t="s">
        <v>109</v>
      </c>
      <c r="L115" s="2" t="s">
        <v>111</v>
      </c>
      <c r="M115" s="2" t="s">
        <v>109</v>
      </c>
      <c r="N115" s="2" t="s">
        <v>109</v>
      </c>
      <c r="O115" s="2" t="s">
        <v>111</v>
      </c>
      <c r="P115" s="2" t="s">
        <v>109</v>
      </c>
      <c r="Q115" s="2" t="s">
        <v>111</v>
      </c>
      <c r="R115" s="2" t="s">
        <v>111</v>
      </c>
      <c r="S115" s="2" t="s">
        <v>109</v>
      </c>
      <c r="T115" s="2" t="s">
        <v>109</v>
      </c>
      <c r="U115" s="2" t="s">
        <v>111</v>
      </c>
      <c r="V115" s="2" t="s">
        <v>109</v>
      </c>
      <c r="W115" s="2" t="s">
        <v>109</v>
      </c>
      <c r="X115" s="2" t="s">
        <v>111</v>
      </c>
      <c r="Y115" s="2" t="s">
        <v>111</v>
      </c>
      <c r="Z115" s="2" t="s">
        <v>111</v>
      </c>
      <c r="AA115" s="2" t="s">
        <v>109</v>
      </c>
      <c r="AB115" s="2" t="s">
        <v>111</v>
      </c>
      <c r="AC115" s="2" t="s">
        <v>111</v>
      </c>
      <c r="AD115" s="2" t="s">
        <v>109</v>
      </c>
      <c r="AE115" s="2" t="s">
        <v>109</v>
      </c>
      <c r="AF115" s="2" t="s">
        <v>109</v>
      </c>
      <c r="AG115" s="2" t="s">
        <v>111</v>
      </c>
      <c r="AH115" s="3" t="s">
        <v>111</v>
      </c>
      <c r="AI115" s="2" t="s">
        <v>109</v>
      </c>
      <c r="AJ115" s="2" t="s">
        <v>111</v>
      </c>
      <c r="AK115" s="2">
        <v>100</v>
      </c>
      <c r="AL115" s="2">
        <v>95</v>
      </c>
      <c r="AM115" s="2">
        <v>5</v>
      </c>
      <c r="AN115" s="3" t="s">
        <v>109</v>
      </c>
      <c r="AO115" s="2">
        <v>50</v>
      </c>
      <c r="AP115" s="2">
        <v>50</v>
      </c>
      <c r="AR115" s="2">
        <v>80</v>
      </c>
      <c r="AS115" s="2">
        <v>5</v>
      </c>
      <c r="AT115" s="2">
        <v>15</v>
      </c>
      <c r="AY115" s="2">
        <v>95</v>
      </c>
      <c r="BA115" s="2">
        <v>50</v>
      </c>
      <c r="BB115" s="2">
        <v>50</v>
      </c>
      <c r="BC115" s="2">
        <v>75</v>
      </c>
      <c r="BU115" s="2">
        <v>4</v>
      </c>
      <c r="BV115" s="2">
        <v>5</v>
      </c>
      <c r="BW115" s="2">
        <v>6</v>
      </c>
      <c r="BX115" s="2">
        <v>1</v>
      </c>
      <c r="BY115" s="2">
        <v>8</v>
      </c>
      <c r="BZ115" s="2">
        <v>9</v>
      </c>
      <c r="CA115" s="2">
        <v>5</v>
      </c>
      <c r="CD115" s="3" t="s">
        <v>111</v>
      </c>
      <c r="CN115" s="2" t="s">
        <v>115</v>
      </c>
      <c r="CO115" s="3">
        <v>15000</v>
      </c>
      <c r="CP115" s="2">
        <v>35000</v>
      </c>
      <c r="CQ115" s="2">
        <v>2016</v>
      </c>
      <c r="CR115" s="2">
        <v>2015</v>
      </c>
      <c r="CS115" s="2">
        <v>5</v>
      </c>
      <c r="CT115" s="2">
        <v>95</v>
      </c>
      <c r="CU115" s="2">
        <v>90</v>
      </c>
      <c r="CV115" s="2">
        <v>10</v>
      </c>
      <c r="DQ115" s="2">
        <v>0.3</v>
      </c>
      <c r="DR115" s="2">
        <v>8</v>
      </c>
      <c r="DS115" s="2">
        <v>2016</v>
      </c>
      <c r="DT115" s="2">
        <v>2016</v>
      </c>
      <c r="DU115" s="3" t="s">
        <v>109</v>
      </c>
      <c r="DV115" s="3" t="s">
        <v>111</v>
      </c>
      <c r="DW115" s="3" t="s">
        <v>111</v>
      </c>
      <c r="DX115" s="3" t="s">
        <v>111</v>
      </c>
      <c r="DY115" s="3" t="s">
        <v>111</v>
      </c>
      <c r="DZ115" s="3" t="s">
        <v>111</v>
      </c>
      <c r="EA115" s="3" t="s">
        <v>111</v>
      </c>
      <c r="EB115" s="3" t="s">
        <v>111</v>
      </c>
    </row>
    <row r="116" spans="1:133" x14ac:dyDescent="0.2">
      <c r="A116" s="2" t="s">
        <v>211</v>
      </c>
      <c r="B116" s="2" t="s">
        <v>236</v>
      </c>
      <c r="C116" s="2" t="s">
        <v>166</v>
      </c>
      <c r="D116" s="2" t="s">
        <v>109</v>
      </c>
      <c r="E116" s="2" t="s">
        <v>116</v>
      </c>
      <c r="F116" s="3">
        <v>65</v>
      </c>
      <c r="G116" s="2" t="s">
        <v>109</v>
      </c>
      <c r="H116" s="2" t="s">
        <v>109</v>
      </c>
      <c r="I116" s="2" t="s">
        <v>109</v>
      </c>
      <c r="J116" s="2" t="s">
        <v>109</v>
      </c>
      <c r="K116" s="2" t="s">
        <v>109</v>
      </c>
      <c r="L116" s="2" t="s">
        <v>109</v>
      </c>
      <c r="M116" s="2" t="s">
        <v>109</v>
      </c>
      <c r="N116" s="2" t="s">
        <v>109</v>
      </c>
      <c r="O116" s="2" t="s">
        <v>111</v>
      </c>
      <c r="P116" s="2" t="s">
        <v>109</v>
      </c>
      <c r="Q116" s="2" t="s">
        <v>109</v>
      </c>
      <c r="R116" s="2" t="s">
        <v>111</v>
      </c>
      <c r="S116" s="2" t="s">
        <v>109</v>
      </c>
      <c r="T116" s="2" t="s">
        <v>109</v>
      </c>
      <c r="U116" s="2" t="s">
        <v>111</v>
      </c>
      <c r="V116" s="2" t="s">
        <v>111</v>
      </c>
      <c r="W116" s="2" t="s">
        <v>111</v>
      </c>
      <c r="X116" s="2" t="s">
        <v>109</v>
      </c>
      <c r="Y116" s="2" t="s">
        <v>111</v>
      </c>
      <c r="Z116" s="2" t="s">
        <v>111</v>
      </c>
      <c r="AA116" s="2" t="s">
        <v>109</v>
      </c>
      <c r="AB116" s="2" t="s">
        <v>111</v>
      </c>
      <c r="AC116" s="2" t="s">
        <v>111</v>
      </c>
      <c r="AD116" s="2" t="s">
        <v>109</v>
      </c>
      <c r="AE116" s="2" t="s">
        <v>109</v>
      </c>
      <c r="AF116" s="2" t="s">
        <v>109</v>
      </c>
      <c r="AG116" s="2" t="s">
        <v>111</v>
      </c>
      <c r="AH116" s="3" t="s">
        <v>111</v>
      </c>
      <c r="AI116" s="2" t="s">
        <v>109</v>
      </c>
      <c r="AJ116" s="2" t="s">
        <v>111</v>
      </c>
      <c r="AK116" s="2">
        <v>70</v>
      </c>
      <c r="AL116" s="2">
        <v>5</v>
      </c>
      <c r="AM116" s="2">
        <v>25</v>
      </c>
      <c r="AN116" s="3" t="s">
        <v>109</v>
      </c>
      <c r="AO116" s="2">
        <v>65</v>
      </c>
      <c r="AP116" s="2">
        <v>50</v>
      </c>
      <c r="AQ116" s="2">
        <v>40</v>
      </c>
      <c r="AR116" s="2">
        <v>25</v>
      </c>
      <c r="AS116" s="2">
        <v>30</v>
      </c>
      <c r="AT116" s="2">
        <v>5</v>
      </c>
      <c r="AU116" s="2">
        <v>99</v>
      </c>
      <c r="AV116" s="2">
        <v>0</v>
      </c>
      <c r="AW116" s="2">
        <v>1</v>
      </c>
      <c r="AX116" s="2">
        <v>0</v>
      </c>
      <c r="AY116" s="2">
        <v>5</v>
      </c>
      <c r="AZ116" s="2">
        <v>45</v>
      </c>
      <c r="BA116" s="2">
        <v>50</v>
      </c>
      <c r="BB116" s="2">
        <v>50</v>
      </c>
      <c r="BC116" s="2">
        <v>70</v>
      </c>
      <c r="BP116" s="2">
        <v>1</v>
      </c>
      <c r="BQ116" s="2">
        <v>2</v>
      </c>
      <c r="BU116" s="2">
        <v>9</v>
      </c>
      <c r="BV116" s="2">
        <v>8</v>
      </c>
      <c r="BW116" s="2">
        <v>8</v>
      </c>
      <c r="BX116" s="2">
        <v>1</v>
      </c>
      <c r="BY116" s="2">
        <v>7</v>
      </c>
      <c r="BZ116" s="2">
        <v>10</v>
      </c>
      <c r="CA116" s="2">
        <v>1</v>
      </c>
      <c r="CB116" s="2">
        <v>8</v>
      </c>
      <c r="CC116" s="2" t="s">
        <v>138</v>
      </c>
      <c r="CD116" s="3" t="s">
        <v>109</v>
      </c>
      <c r="CE116" s="2" t="s">
        <v>109</v>
      </c>
      <c r="CF116" s="2" t="s">
        <v>109</v>
      </c>
      <c r="CG116" s="2" t="s">
        <v>111</v>
      </c>
      <c r="CH116" s="2" t="s">
        <v>111</v>
      </c>
      <c r="CI116" s="3" t="s">
        <v>109</v>
      </c>
      <c r="CJ116" s="3" t="s">
        <v>111</v>
      </c>
      <c r="CK116" s="2" t="s">
        <v>109</v>
      </c>
      <c r="CL116" s="2" t="s">
        <v>139</v>
      </c>
      <c r="CM116" s="2">
        <v>415000</v>
      </c>
      <c r="CN116" s="2" t="s">
        <v>113</v>
      </c>
      <c r="CO116" s="3">
        <v>600000</v>
      </c>
      <c r="CP116" s="2">
        <v>0</v>
      </c>
      <c r="CQ116" s="2">
        <v>2016</v>
      </c>
      <c r="CS116" s="2">
        <v>20</v>
      </c>
      <c r="CT116" s="2">
        <v>80</v>
      </c>
      <c r="CU116" s="2">
        <v>65</v>
      </c>
      <c r="CV116" s="2">
        <v>35</v>
      </c>
      <c r="CW116" s="2">
        <v>5</v>
      </c>
      <c r="CX116" s="2">
        <v>3</v>
      </c>
      <c r="CY116" s="2">
        <v>5</v>
      </c>
      <c r="CZ116" s="2">
        <v>2</v>
      </c>
      <c r="DA116" s="2">
        <v>60</v>
      </c>
      <c r="DB116" s="2">
        <v>5</v>
      </c>
      <c r="DC116" s="2">
        <v>10</v>
      </c>
      <c r="DD116" s="2">
        <v>10</v>
      </c>
      <c r="DE116" s="2">
        <v>0</v>
      </c>
      <c r="DG116" s="2">
        <v>75</v>
      </c>
      <c r="DH116" s="2">
        <v>10</v>
      </c>
      <c r="DI116" s="2">
        <v>5</v>
      </c>
      <c r="DJ116" s="2">
        <v>5</v>
      </c>
      <c r="DK116" s="2">
        <v>5</v>
      </c>
      <c r="DL116" s="2">
        <v>0</v>
      </c>
      <c r="DM116" s="2">
        <v>0</v>
      </c>
      <c r="DN116" s="2">
        <v>0</v>
      </c>
      <c r="DO116" s="2">
        <v>0</v>
      </c>
      <c r="DQ116" s="2">
        <v>6</v>
      </c>
      <c r="DS116" s="2">
        <v>2016</v>
      </c>
      <c r="DU116" s="3" t="s">
        <v>109</v>
      </c>
      <c r="DV116" s="3" t="s">
        <v>111</v>
      </c>
      <c r="DW116" s="3" t="s">
        <v>111</v>
      </c>
      <c r="DX116" s="3" t="s">
        <v>111</v>
      </c>
      <c r="DY116" s="3" t="s">
        <v>111</v>
      </c>
      <c r="DZ116" s="3" t="s">
        <v>111</v>
      </c>
      <c r="EA116" s="3" t="s">
        <v>111</v>
      </c>
      <c r="EB116" s="3" t="s">
        <v>111</v>
      </c>
      <c r="EC116" s="3" t="s">
        <v>111</v>
      </c>
    </row>
    <row r="117" spans="1:133" s="3" customFormat="1" x14ac:dyDescent="0.2">
      <c r="A117" s="84" t="s">
        <v>224</v>
      </c>
      <c r="B117" s="3" t="s">
        <v>238</v>
      </c>
      <c r="C117" s="3" t="s">
        <v>166</v>
      </c>
      <c r="D117" s="3" t="s">
        <v>109</v>
      </c>
      <c r="E117" s="3" t="s">
        <v>118</v>
      </c>
      <c r="F117" s="3">
        <v>16</v>
      </c>
      <c r="G117" s="3" t="s">
        <v>111</v>
      </c>
      <c r="L117" s="3" t="s">
        <v>109</v>
      </c>
      <c r="M117" s="3" t="s">
        <v>109</v>
      </c>
      <c r="N117" s="3" t="s">
        <v>109</v>
      </c>
      <c r="O117" s="3" t="s">
        <v>111</v>
      </c>
      <c r="P117" s="3" t="s">
        <v>109</v>
      </c>
      <c r="Q117" s="3" t="s">
        <v>109</v>
      </c>
      <c r="R117" s="3" t="s">
        <v>111</v>
      </c>
      <c r="S117" s="3" t="s">
        <v>109</v>
      </c>
      <c r="T117" s="3" t="s">
        <v>111</v>
      </c>
      <c r="U117" s="3" t="s">
        <v>111</v>
      </c>
      <c r="V117" s="3" t="s">
        <v>109</v>
      </c>
      <c r="W117" s="3" t="s">
        <v>111</v>
      </c>
      <c r="X117" s="3" t="s">
        <v>111</v>
      </c>
      <c r="Y117" s="3" t="s">
        <v>111</v>
      </c>
      <c r="Z117" s="3" t="s">
        <v>111</v>
      </c>
      <c r="AA117" s="3" t="s">
        <v>109</v>
      </c>
      <c r="AB117" s="3" t="s">
        <v>111</v>
      </c>
      <c r="AC117" s="3" t="s">
        <v>111</v>
      </c>
      <c r="AD117" s="3" t="s">
        <v>109</v>
      </c>
      <c r="AE117" s="3" t="s">
        <v>109</v>
      </c>
      <c r="AF117" s="3" t="s">
        <v>109</v>
      </c>
      <c r="AG117" s="3" t="s">
        <v>111</v>
      </c>
      <c r="AH117" s="3" t="s">
        <v>111</v>
      </c>
      <c r="AI117" s="3" t="s">
        <v>111</v>
      </c>
      <c r="AJ117" s="3" t="s">
        <v>109</v>
      </c>
      <c r="AK117" s="3">
        <v>88</v>
      </c>
      <c r="AL117" s="3">
        <v>52</v>
      </c>
      <c r="AM117" s="3">
        <v>48</v>
      </c>
      <c r="AN117" s="3" t="s">
        <v>109</v>
      </c>
      <c r="AO117" s="3">
        <v>95</v>
      </c>
      <c r="AP117" s="3">
        <v>45</v>
      </c>
      <c r="AQ117" s="3">
        <v>30</v>
      </c>
      <c r="AR117" s="3">
        <v>5</v>
      </c>
      <c r="AS117" s="3">
        <v>40</v>
      </c>
      <c r="AT117" s="3">
        <v>25</v>
      </c>
      <c r="AU117" s="3">
        <v>100</v>
      </c>
      <c r="AY117" s="3">
        <v>20</v>
      </c>
      <c r="BA117" s="3">
        <v>80</v>
      </c>
      <c r="BB117" s="3">
        <v>95</v>
      </c>
      <c r="BC117" s="3">
        <v>95</v>
      </c>
      <c r="BD117" s="3">
        <v>95</v>
      </c>
      <c r="BE117" s="3">
        <v>95</v>
      </c>
      <c r="BU117" s="3">
        <v>8</v>
      </c>
      <c r="BV117" s="3">
        <v>7</v>
      </c>
      <c r="BW117" s="3">
        <v>8</v>
      </c>
      <c r="BX117" s="3">
        <v>7</v>
      </c>
      <c r="BY117" s="3">
        <v>8</v>
      </c>
      <c r="BZ117" s="3">
        <v>7</v>
      </c>
      <c r="CA117" s="3">
        <v>7</v>
      </c>
      <c r="CD117" s="3" t="s">
        <v>111</v>
      </c>
      <c r="CN117" s="3" t="s">
        <v>117</v>
      </c>
      <c r="CO117" s="3">
        <v>1500</v>
      </c>
      <c r="CQ117" s="3">
        <v>2016</v>
      </c>
      <c r="CS117" s="3">
        <v>0</v>
      </c>
      <c r="CT117" s="3">
        <v>100</v>
      </c>
      <c r="CU117" s="3">
        <v>100</v>
      </c>
      <c r="CV117" s="3">
        <v>0</v>
      </c>
      <c r="DG117" s="3">
        <v>80</v>
      </c>
      <c r="DH117" s="3">
        <v>0</v>
      </c>
      <c r="DI117" s="3">
        <v>0</v>
      </c>
      <c r="DJ117" s="3">
        <v>0</v>
      </c>
      <c r="DK117" s="3">
        <v>0</v>
      </c>
      <c r="DL117" s="3">
        <v>0</v>
      </c>
      <c r="DM117" s="3">
        <v>0</v>
      </c>
      <c r="DN117" s="3">
        <v>20</v>
      </c>
      <c r="DO117" s="3">
        <v>0</v>
      </c>
      <c r="DQ117" s="3">
        <v>0.1</v>
      </c>
      <c r="DR117" s="3">
        <v>0.1</v>
      </c>
      <c r="DS117" s="3">
        <v>2016</v>
      </c>
      <c r="DT117" s="3">
        <v>2016</v>
      </c>
      <c r="DU117" s="3" t="s">
        <v>109</v>
      </c>
      <c r="DV117" s="3" t="s">
        <v>111</v>
      </c>
      <c r="DW117" s="3" t="s">
        <v>111</v>
      </c>
      <c r="DX117" s="3" t="s">
        <v>111</v>
      </c>
      <c r="DY117" s="3" t="s">
        <v>111</v>
      </c>
      <c r="DZ117" s="3" t="s">
        <v>111</v>
      </c>
      <c r="EA117" s="3" t="s">
        <v>111</v>
      </c>
      <c r="EB117" s="3" t="s">
        <v>111</v>
      </c>
      <c r="EC117" s="3" t="s">
        <v>111</v>
      </c>
    </row>
    <row r="118" spans="1:133" x14ac:dyDescent="0.2">
      <c r="A118" s="8" t="s">
        <v>224</v>
      </c>
      <c r="B118" s="2" t="s">
        <v>238</v>
      </c>
      <c r="C118" s="2" t="s">
        <v>166</v>
      </c>
      <c r="D118" s="2" t="s">
        <v>109</v>
      </c>
      <c r="E118" s="2" t="s">
        <v>110</v>
      </c>
      <c r="F118" s="3">
        <v>0.6</v>
      </c>
      <c r="G118" s="2" t="s">
        <v>111</v>
      </c>
      <c r="L118" s="2" t="s">
        <v>111</v>
      </c>
      <c r="M118" s="2" t="s">
        <v>109</v>
      </c>
      <c r="N118" s="2" t="s">
        <v>109</v>
      </c>
      <c r="O118" s="2" t="s">
        <v>111</v>
      </c>
      <c r="P118" s="2" t="s">
        <v>109</v>
      </c>
      <c r="Q118" s="2" t="s">
        <v>109</v>
      </c>
      <c r="R118" s="2" t="s">
        <v>111</v>
      </c>
      <c r="S118" s="2" t="s">
        <v>109</v>
      </c>
      <c r="T118" s="2" t="s">
        <v>109</v>
      </c>
      <c r="U118" s="2" t="s">
        <v>111</v>
      </c>
      <c r="V118" s="2" t="s">
        <v>109</v>
      </c>
      <c r="W118" s="2" t="s">
        <v>109</v>
      </c>
      <c r="X118" s="2" t="s">
        <v>111</v>
      </c>
      <c r="Y118" s="2" t="s">
        <v>109</v>
      </c>
      <c r="Z118" s="2" t="s">
        <v>109</v>
      </c>
      <c r="AA118" s="2" t="s">
        <v>111</v>
      </c>
      <c r="AB118" s="2" t="s">
        <v>111</v>
      </c>
      <c r="AC118" s="2" t="s">
        <v>111</v>
      </c>
      <c r="AD118" s="2" t="s">
        <v>109</v>
      </c>
      <c r="AE118" s="2" t="s">
        <v>109</v>
      </c>
      <c r="AF118" s="2" t="s">
        <v>109</v>
      </c>
      <c r="AG118" s="2" t="s">
        <v>111</v>
      </c>
      <c r="AH118" s="3" t="s">
        <v>111</v>
      </c>
      <c r="AI118" s="2" t="s">
        <v>109</v>
      </c>
      <c r="AJ118" s="2" t="s">
        <v>111</v>
      </c>
      <c r="AK118" s="2">
        <v>80</v>
      </c>
      <c r="AL118" s="2">
        <v>50</v>
      </c>
      <c r="AM118" s="2">
        <v>25</v>
      </c>
      <c r="AN118" s="3" t="s">
        <v>109</v>
      </c>
      <c r="AO118" s="2">
        <v>80</v>
      </c>
      <c r="AP118" s="2">
        <v>40</v>
      </c>
      <c r="AR118" s="2">
        <v>80</v>
      </c>
      <c r="AS118" s="2">
        <v>20</v>
      </c>
      <c r="AV118" s="2">
        <v>100</v>
      </c>
      <c r="AZ118" s="2">
        <v>60</v>
      </c>
      <c r="BA118" s="2">
        <v>40</v>
      </c>
      <c r="BB118" s="2">
        <v>80</v>
      </c>
      <c r="BC118" s="2">
        <v>85</v>
      </c>
      <c r="BD118" s="2">
        <v>80</v>
      </c>
      <c r="BF118" s="2">
        <v>80</v>
      </c>
      <c r="BP118" s="2">
        <v>25</v>
      </c>
      <c r="BU118" s="2">
        <v>8</v>
      </c>
      <c r="BV118" s="2">
        <v>1</v>
      </c>
      <c r="BW118" s="2">
        <v>8</v>
      </c>
      <c r="BX118" s="2">
        <v>3</v>
      </c>
      <c r="BY118" s="2">
        <v>8</v>
      </c>
      <c r="BZ118" s="2">
        <v>6</v>
      </c>
      <c r="CA118" s="2">
        <v>3</v>
      </c>
      <c r="CB118" s="2">
        <v>6</v>
      </c>
      <c r="CC118" s="2" t="s">
        <v>137</v>
      </c>
      <c r="CD118" s="3" t="s">
        <v>109</v>
      </c>
      <c r="CE118" s="2" t="s">
        <v>109</v>
      </c>
      <c r="CF118" s="2" t="s">
        <v>111</v>
      </c>
      <c r="CG118" s="2" t="s">
        <v>111</v>
      </c>
      <c r="CH118" s="2" t="s">
        <v>111</v>
      </c>
      <c r="CI118" s="3" t="s">
        <v>109</v>
      </c>
      <c r="CJ118" s="3" t="s">
        <v>111</v>
      </c>
      <c r="CK118" s="3" t="s">
        <v>111</v>
      </c>
      <c r="CL118" s="3" t="s">
        <v>111</v>
      </c>
      <c r="CM118" s="2">
        <v>14917</v>
      </c>
      <c r="CN118" s="2" t="s">
        <v>121</v>
      </c>
      <c r="CO118" s="3">
        <v>4000</v>
      </c>
      <c r="CP118" s="2">
        <v>0</v>
      </c>
      <c r="CQ118" s="2">
        <v>2016</v>
      </c>
      <c r="CS118" s="2">
        <v>50</v>
      </c>
      <c r="CT118" s="2">
        <v>50</v>
      </c>
      <c r="CU118" s="2">
        <v>100</v>
      </c>
      <c r="CV118" s="2">
        <v>0</v>
      </c>
      <c r="CW118" s="2">
        <v>0</v>
      </c>
      <c r="CX118" s="2">
        <v>5</v>
      </c>
      <c r="CY118" s="2">
        <v>10</v>
      </c>
      <c r="CZ118" s="2">
        <v>0</v>
      </c>
      <c r="DA118" s="2">
        <v>35</v>
      </c>
      <c r="DB118" s="2">
        <v>0</v>
      </c>
      <c r="DC118" s="2">
        <v>50</v>
      </c>
      <c r="DD118" s="2">
        <v>0</v>
      </c>
      <c r="DE118" s="2">
        <v>0</v>
      </c>
      <c r="DG118" s="2">
        <v>5</v>
      </c>
      <c r="DH118" s="2">
        <v>5</v>
      </c>
      <c r="DI118" s="2">
        <v>0</v>
      </c>
      <c r="DJ118" s="2">
        <v>60</v>
      </c>
      <c r="DK118" s="2">
        <v>10</v>
      </c>
      <c r="DL118" s="2">
        <v>10</v>
      </c>
      <c r="DM118" s="2">
        <v>5</v>
      </c>
      <c r="DN118" s="2">
        <v>5</v>
      </c>
      <c r="DO118" s="2">
        <v>0</v>
      </c>
      <c r="DQ118" s="2">
        <v>0.6</v>
      </c>
      <c r="DR118" s="2">
        <v>1</v>
      </c>
      <c r="DS118" s="2">
        <v>2017</v>
      </c>
      <c r="DT118" s="2">
        <v>2017</v>
      </c>
      <c r="DU118" s="3" t="s">
        <v>109</v>
      </c>
      <c r="DV118" s="3" t="s">
        <v>111</v>
      </c>
      <c r="DW118" s="3" t="s">
        <v>111</v>
      </c>
      <c r="DX118" s="3" t="s">
        <v>111</v>
      </c>
      <c r="DY118" s="3" t="s">
        <v>111</v>
      </c>
      <c r="DZ118" s="3" t="s">
        <v>111</v>
      </c>
      <c r="EA118" s="3" t="s">
        <v>109</v>
      </c>
      <c r="EB118" s="3" t="s">
        <v>111</v>
      </c>
      <c r="EC118" s="3" t="s">
        <v>111</v>
      </c>
    </row>
    <row r="119" spans="1:133" x14ac:dyDescent="0.2">
      <c r="A119" s="2" t="s">
        <v>230</v>
      </c>
      <c r="B119" s="2" t="s">
        <v>215</v>
      </c>
      <c r="C119" s="2" t="s">
        <v>166</v>
      </c>
      <c r="D119" s="2" t="s">
        <v>109</v>
      </c>
      <c r="E119" s="2" t="s">
        <v>120</v>
      </c>
      <c r="F119" s="3">
        <v>2.6</v>
      </c>
      <c r="G119" s="2" t="s">
        <v>111</v>
      </c>
      <c r="L119" s="2" t="s">
        <v>109</v>
      </c>
      <c r="M119" s="2" t="s">
        <v>109</v>
      </c>
      <c r="N119" s="2" t="s">
        <v>111</v>
      </c>
      <c r="O119" s="2" t="s">
        <v>111</v>
      </c>
      <c r="P119" s="2" t="s">
        <v>109</v>
      </c>
      <c r="Q119" s="2" t="s">
        <v>109</v>
      </c>
      <c r="R119" s="2" t="s">
        <v>111</v>
      </c>
      <c r="S119" s="2" t="s">
        <v>109</v>
      </c>
      <c r="T119" s="2" t="s">
        <v>111</v>
      </c>
      <c r="U119" s="2" t="s">
        <v>111</v>
      </c>
      <c r="V119" s="2" t="s">
        <v>109</v>
      </c>
      <c r="W119" s="2" t="s">
        <v>111</v>
      </c>
      <c r="X119" s="2" t="s">
        <v>111</v>
      </c>
      <c r="Y119" s="2" t="s">
        <v>111</v>
      </c>
      <c r="Z119" s="2" t="s">
        <v>111</v>
      </c>
      <c r="AA119" s="2" t="s">
        <v>109</v>
      </c>
      <c r="AB119" s="2" t="s">
        <v>111</v>
      </c>
      <c r="AC119" s="2" t="s">
        <v>111</v>
      </c>
      <c r="AD119" s="2" t="s">
        <v>109</v>
      </c>
      <c r="AE119" s="2" t="s">
        <v>109</v>
      </c>
      <c r="AF119" s="2" t="s">
        <v>109</v>
      </c>
      <c r="AG119" s="2" t="s">
        <v>111</v>
      </c>
      <c r="AH119" s="3" t="s">
        <v>111</v>
      </c>
      <c r="AI119" s="2" t="s">
        <v>109</v>
      </c>
      <c r="AJ119" s="2" t="s">
        <v>111</v>
      </c>
      <c r="AK119" s="2">
        <v>10</v>
      </c>
      <c r="AL119" s="2">
        <v>30</v>
      </c>
      <c r="AM119" s="2">
        <v>70</v>
      </c>
      <c r="AN119" s="3" t="s">
        <v>109</v>
      </c>
    </row>
    <row r="120" spans="1:133" x14ac:dyDescent="0.2">
      <c r="A120" s="2" t="s">
        <v>216</v>
      </c>
      <c r="B120" s="2" t="s">
        <v>238</v>
      </c>
      <c r="C120" s="2" t="s">
        <v>166</v>
      </c>
      <c r="D120" s="2" t="s">
        <v>109</v>
      </c>
      <c r="E120" s="2" t="s">
        <v>120</v>
      </c>
      <c r="F120" s="3">
        <v>7.6</v>
      </c>
      <c r="G120" s="2" t="s">
        <v>109</v>
      </c>
      <c r="H120" s="2" t="s">
        <v>109</v>
      </c>
      <c r="I120" s="2" t="s">
        <v>111</v>
      </c>
      <c r="J120" s="2" t="s">
        <v>109</v>
      </c>
      <c r="K120" s="2" t="s">
        <v>111</v>
      </c>
      <c r="L120" s="2" t="s">
        <v>111</v>
      </c>
      <c r="M120" s="2" t="s">
        <v>109</v>
      </c>
      <c r="N120" s="2" t="s">
        <v>111</v>
      </c>
      <c r="O120" s="2" t="s">
        <v>111</v>
      </c>
      <c r="P120" s="2" t="s">
        <v>109</v>
      </c>
      <c r="Q120" s="2" t="s">
        <v>109</v>
      </c>
      <c r="R120" s="2" t="s">
        <v>111</v>
      </c>
      <c r="S120" s="2" t="s">
        <v>109</v>
      </c>
      <c r="T120" s="2" t="s">
        <v>111</v>
      </c>
      <c r="U120" s="2" t="s">
        <v>111</v>
      </c>
      <c r="V120" s="2" t="s">
        <v>109</v>
      </c>
      <c r="W120" s="2" t="s">
        <v>111</v>
      </c>
      <c r="X120" s="2" t="s">
        <v>111</v>
      </c>
      <c r="Y120" s="2" t="s">
        <v>111</v>
      </c>
      <c r="Z120" s="2" t="s">
        <v>111</v>
      </c>
      <c r="AA120" s="2" t="s">
        <v>109</v>
      </c>
      <c r="AB120" s="2" t="s">
        <v>111</v>
      </c>
      <c r="AC120" s="2" t="s">
        <v>111</v>
      </c>
      <c r="AD120" s="2" t="s">
        <v>109</v>
      </c>
      <c r="AE120" s="2" t="s">
        <v>111</v>
      </c>
      <c r="AF120" s="2" t="s">
        <v>111</v>
      </c>
      <c r="AG120" s="2" t="s">
        <v>109</v>
      </c>
      <c r="AH120" s="3" t="s">
        <v>111</v>
      </c>
      <c r="AI120" s="2" t="s">
        <v>111</v>
      </c>
      <c r="AJ120" s="2" t="s">
        <v>109</v>
      </c>
      <c r="AK120" s="2">
        <v>10</v>
      </c>
      <c r="AL120" s="2">
        <v>0</v>
      </c>
      <c r="AM120" s="2">
        <v>36</v>
      </c>
      <c r="AN120" s="3" t="s">
        <v>109</v>
      </c>
      <c r="AO120" s="2">
        <v>10</v>
      </c>
      <c r="AP120" s="2">
        <v>8</v>
      </c>
      <c r="BU120" s="2">
        <v>8</v>
      </c>
      <c r="BW120" s="2">
        <v>7</v>
      </c>
      <c r="BY120" s="2">
        <v>9</v>
      </c>
      <c r="BZ120" s="2">
        <v>7</v>
      </c>
      <c r="CA120" s="2">
        <v>9</v>
      </c>
      <c r="CD120" s="3" t="s">
        <v>111</v>
      </c>
      <c r="CN120" s="2" t="s">
        <v>119</v>
      </c>
    </row>
    <row r="121" spans="1:133" x14ac:dyDescent="0.2">
      <c r="A121" s="2" t="s">
        <v>231</v>
      </c>
      <c r="B121" s="2" t="s">
        <v>238</v>
      </c>
      <c r="C121" s="2" t="s">
        <v>166</v>
      </c>
      <c r="D121" s="2" t="s">
        <v>109</v>
      </c>
      <c r="E121" s="2" t="s">
        <v>112</v>
      </c>
      <c r="F121" s="3">
        <v>0</v>
      </c>
      <c r="G121" s="2" t="s">
        <v>109</v>
      </c>
      <c r="H121" s="2" t="s">
        <v>111</v>
      </c>
      <c r="I121" s="2" t="s">
        <v>111</v>
      </c>
      <c r="J121" s="2" t="s">
        <v>109</v>
      </c>
      <c r="K121" s="2" t="s">
        <v>111</v>
      </c>
      <c r="L121" s="2" t="s">
        <v>111</v>
      </c>
      <c r="M121" s="2" t="s">
        <v>111</v>
      </c>
      <c r="N121" s="2" t="s">
        <v>111</v>
      </c>
      <c r="O121" s="2" t="s">
        <v>109</v>
      </c>
      <c r="P121" s="2" t="s">
        <v>109</v>
      </c>
      <c r="Q121" s="2" t="s">
        <v>111</v>
      </c>
      <c r="R121" s="2" t="s">
        <v>111</v>
      </c>
      <c r="S121" s="2" t="s">
        <v>111</v>
      </c>
      <c r="T121" s="2" t="s">
        <v>111</v>
      </c>
      <c r="U121" s="2" t="s">
        <v>109</v>
      </c>
      <c r="V121" s="2" t="s">
        <v>109</v>
      </c>
      <c r="W121" s="2" t="s">
        <v>111</v>
      </c>
      <c r="X121" s="2" t="s">
        <v>111</v>
      </c>
      <c r="Y121" s="2" t="s">
        <v>109</v>
      </c>
      <c r="Z121" s="2" t="s">
        <v>111</v>
      </c>
      <c r="AA121" s="2" t="s">
        <v>111</v>
      </c>
      <c r="AB121" s="2" t="s">
        <v>111</v>
      </c>
      <c r="AC121" s="2" t="s">
        <v>111</v>
      </c>
      <c r="AD121" s="2" t="s">
        <v>109</v>
      </c>
      <c r="AE121" s="2" t="s">
        <v>109</v>
      </c>
      <c r="AF121" s="2" t="s">
        <v>111</v>
      </c>
      <c r="AG121" s="2" t="s">
        <v>111</v>
      </c>
      <c r="AH121" s="3" t="s">
        <v>111</v>
      </c>
      <c r="AI121" s="2" t="s">
        <v>111</v>
      </c>
      <c r="AJ121" s="2" t="s">
        <v>109</v>
      </c>
      <c r="AK121" s="2">
        <v>30</v>
      </c>
      <c r="AL121" s="2">
        <v>5</v>
      </c>
      <c r="AM121" s="2">
        <v>95</v>
      </c>
      <c r="AN121" s="3" t="s">
        <v>111</v>
      </c>
    </row>
    <row r="122" spans="1:133" s="3" customFormat="1" x14ac:dyDescent="0.2">
      <c r="A122" s="8" t="s">
        <v>227</v>
      </c>
      <c r="B122" s="2" t="s">
        <v>238</v>
      </c>
      <c r="C122" s="2" t="s">
        <v>166</v>
      </c>
      <c r="D122" s="2" t="s">
        <v>109</v>
      </c>
      <c r="E122" s="2" t="s">
        <v>120</v>
      </c>
      <c r="F122" s="3">
        <v>6</v>
      </c>
      <c r="G122" s="2" t="s">
        <v>111</v>
      </c>
      <c r="H122" s="2"/>
      <c r="I122" s="2"/>
      <c r="J122" s="2"/>
      <c r="K122" s="2"/>
      <c r="L122" s="2" t="s">
        <v>111</v>
      </c>
      <c r="M122" s="2" t="s">
        <v>111</v>
      </c>
      <c r="N122" s="2" t="s">
        <v>111</v>
      </c>
      <c r="O122" s="2" t="s">
        <v>109</v>
      </c>
      <c r="P122" s="2" t="s">
        <v>109</v>
      </c>
      <c r="Q122" s="2" t="s">
        <v>109</v>
      </c>
      <c r="R122" s="2" t="s">
        <v>111</v>
      </c>
      <c r="S122" s="2" t="s">
        <v>111</v>
      </c>
      <c r="T122" s="2" t="s">
        <v>111</v>
      </c>
      <c r="U122" s="2" t="s">
        <v>109</v>
      </c>
      <c r="V122" s="2" t="s">
        <v>109</v>
      </c>
      <c r="W122" s="2" t="s">
        <v>109</v>
      </c>
      <c r="X122" s="2" t="s">
        <v>111</v>
      </c>
      <c r="Y122" s="2"/>
      <c r="Z122" s="2"/>
      <c r="AA122" s="2"/>
      <c r="AB122" s="2" t="s">
        <v>111</v>
      </c>
      <c r="AC122" s="2" t="s">
        <v>111</v>
      </c>
      <c r="AD122" s="2" t="s">
        <v>109</v>
      </c>
      <c r="AE122" s="2" t="s">
        <v>109</v>
      </c>
      <c r="AF122" s="2" t="s">
        <v>109</v>
      </c>
      <c r="AG122" s="2" t="s">
        <v>111</v>
      </c>
      <c r="AH122" s="3" t="s">
        <v>111</v>
      </c>
      <c r="AI122" s="2" t="s">
        <v>111</v>
      </c>
      <c r="AJ122" s="2" t="s">
        <v>109</v>
      </c>
      <c r="AK122" s="2">
        <v>65</v>
      </c>
      <c r="AL122" s="2">
        <v>10</v>
      </c>
      <c r="AM122" s="2">
        <v>90</v>
      </c>
      <c r="AN122" s="3" t="s">
        <v>109</v>
      </c>
      <c r="AO122" s="2">
        <v>15</v>
      </c>
      <c r="AP122" s="2">
        <v>1</v>
      </c>
      <c r="AQ122" s="2">
        <v>0</v>
      </c>
      <c r="AR122" s="2">
        <v>0</v>
      </c>
      <c r="AS122" s="2">
        <v>0</v>
      </c>
      <c r="AT122" s="2">
        <v>100</v>
      </c>
      <c r="AU122" s="2">
        <v>0</v>
      </c>
      <c r="AV122" s="2">
        <v>0</v>
      </c>
      <c r="AW122" s="2">
        <v>0</v>
      </c>
      <c r="AX122" s="2">
        <v>100</v>
      </c>
      <c r="AY122" s="2">
        <v>100</v>
      </c>
      <c r="AZ122" s="2">
        <v>5</v>
      </c>
      <c r="BA122" s="2">
        <v>1</v>
      </c>
      <c r="BB122" s="2">
        <v>1</v>
      </c>
      <c r="BC122" s="2">
        <v>1</v>
      </c>
      <c r="BD122" s="2"/>
      <c r="BE122" s="2"/>
      <c r="BF122" s="2"/>
      <c r="BG122" s="2"/>
      <c r="BH122" s="2">
        <v>3</v>
      </c>
      <c r="BI122" s="2">
        <v>3</v>
      </c>
      <c r="BJ122" s="2"/>
      <c r="BK122" s="2"/>
      <c r="BL122" s="2"/>
      <c r="BM122" s="2"/>
      <c r="BN122" s="2"/>
      <c r="BO122" s="2"/>
      <c r="BP122" s="2"/>
      <c r="BQ122" s="2"/>
      <c r="BR122" s="2"/>
      <c r="BS122" s="2"/>
      <c r="BT122" s="2"/>
      <c r="BU122" s="2">
        <v>9</v>
      </c>
      <c r="BV122" s="2">
        <v>2</v>
      </c>
      <c r="BW122" s="2">
        <v>9</v>
      </c>
      <c r="BX122" s="2">
        <v>2</v>
      </c>
      <c r="BY122" s="2">
        <v>5</v>
      </c>
      <c r="BZ122" s="2">
        <v>7</v>
      </c>
      <c r="CA122" s="2">
        <v>1</v>
      </c>
      <c r="CB122" s="2"/>
      <c r="CC122" s="2"/>
      <c r="CD122" s="3" t="s">
        <v>111</v>
      </c>
      <c r="CE122" s="2"/>
      <c r="CF122" s="2"/>
      <c r="CG122" s="2"/>
      <c r="CH122" s="2"/>
      <c r="CJ122" s="2"/>
      <c r="CK122" s="2"/>
      <c r="CL122" s="2"/>
      <c r="CM122" s="2"/>
      <c r="CN122" s="2" t="s">
        <v>117</v>
      </c>
      <c r="CO122" s="3">
        <v>0</v>
      </c>
      <c r="CP122" s="2">
        <v>0</v>
      </c>
      <c r="CQ122" s="2">
        <v>2017</v>
      </c>
      <c r="CR122" s="2">
        <v>2017</v>
      </c>
      <c r="CS122" s="2">
        <v>99</v>
      </c>
      <c r="CT122" s="2">
        <v>1</v>
      </c>
      <c r="CU122" s="2">
        <v>99</v>
      </c>
      <c r="CV122" s="2">
        <v>1</v>
      </c>
      <c r="CW122" s="2"/>
      <c r="CX122" s="2"/>
      <c r="CY122" s="2"/>
      <c r="CZ122" s="2"/>
      <c r="DA122" s="2"/>
      <c r="DB122" s="2"/>
      <c r="DC122" s="2"/>
      <c r="DD122" s="2"/>
      <c r="DE122" s="2"/>
      <c r="DF122" s="2"/>
      <c r="DG122" s="2"/>
      <c r="DH122" s="2"/>
      <c r="DI122" s="2"/>
      <c r="DJ122" s="2"/>
      <c r="DK122" s="2"/>
      <c r="DL122" s="2"/>
      <c r="DM122" s="2"/>
      <c r="DN122" s="2"/>
      <c r="DO122" s="2"/>
      <c r="DP122" s="2"/>
      <c r="DQ122" s="2">
        <v>0</v>
      </c>
      <c r="DR122" s="2">
        <v>0</v>
      </c>
      <c r="DS122" s="3">
        <v>0</v>
      </c>
      <c r="DT122" s="3">
        <v>0</v>
      </c>
      <c r="EC122" s="3" t="s">
        <v>136</v>
      </c>
    </row>
    <row r="123" spans="1:133" x14ac:dyDescent="0.2">
      <c r="A123" s="8" t="s">
        <v>224</v>
      </c>
      <c r="B123" s="2" t="s">
        <v>238</v>
      </c>
      <c r="C123" s="2" t="s">
        <v>166</v>
      </c>
      <c r="D123" s="2" t="s">
        <v>109</v>
      </c>
      <c r="E123" s="2" t="s">
        <v>116</v>
      </c>
      <c r="F123" s="3">
        <v>6.25</v>
      </c>
      <c r="G123" s="2" t="s">
        <v>109</v>
      </c>
      <c r="H123" s="2" t="s">
        <v>109</v>
      </c>
      <c r="I123" s="2" t="s">
        <v>109</v>
      </c>
      <c r="J123" s="2" t="s">
        <v>109</v>
      </c>
      <c r="K123" s="2" t="s">
        <v>109</v>
      </c>
      <c r="L123" s="2" t="s">
        <v>109</v>
      </c>
      <c r="M123" s="2" t="s">
        <v>109</v>
      </c>
      <c r="N123" s="2" t="s">
        <v>109</v>
      </c>
      <c r="O123" s="2" t="s">
        <v>111</v>
      </c>
      <c r="P123" s="2" t="s">
        <v>109</v>
      </c>
      <c r="Q123" s="2" t="s">
        <v>109</v>
      </c>
      <c r="R123" s="2" t="s">
        <v>111</v>
      </c>
      <c r="S123" s="2" t="s">
        <v>109</v>
      </c>
      <c r="T123" s="2" t="s">
        <v>109</v>
      </c>
      <c r="U123" s="2" t="s">
        <v>111</v>
      </c>
      <c r="V123" s="2" t="s">
        <v>111</v>
      </c>
      <c r="W123" s="2" t="s">
        <v>111</v>
      </c>
      <c r="X123" s="2" t="s">
        <v>109</v>
      </c>
      <c r="Y123" s="2" t="s">
        <v>111</v>
      </c>
      <c r="Z123" s="2" t="s">
        <v>111</v>
      </c>
      <c r="AA123" s="2" t="s">
        <v>109</v>
      </c>
      <c r="AB123" s="2" t="s">
        <v>109</v>
      </c>
      <c r="AC123" s="2" t="s">
        <v>109</v>
      </c>
      <c r="AD123" s="2" t="s">
        <v>111</v>
      </c>
      <c r="AE123" s="2" t="s">
        <v>109</v>
      </c>
      <c r="AF123" s="2" t="s">
        <v>109</v>
      </c>
      <c r="AG123" s="2" t="s">
        <v>111</v>
      </c>
      <c r="AH123" s="3" t="s">
        <v>111</v>
      </c>
      <c r="AI123" s="2" t="s">
        <v>111</v>
      </c>
      <c r="AJ123" s="2" t="s">
        <v>109</v>
      </c>
      <c r="AK123" s="2">
        <v>70</v>
      </c>
      <c r="AL123" s="2">
        <v>95</v>
      </c>
      <c r="AM123" s="2">
        <v>5</v>
      </c>
      <c r="AN123" s="3" t="s">
        <v>109</v>
      </c>
    </row>
    <row r="124" spans="1:133" x14ac:dyDescent="0.2">
      <c r="A124" s="2" t="s">
        <v>211</v>
      </c>
      <c r="B124" s="2" t="s">
        <v>236</v>
      </c>
      <c r="C124" s="3" t="s">
        <v>166</v>
      </c>
      <c r="D124" s="3" t="s">
        <v>109</v>
      </c>
      <c r="E124" s="3" t="s">
        <v>122</v>
      </c>
      <c r="F124" s="3">
        <v>5</v>
      </c>
      <c r="G124" s="3" t="s">
        <v>111</v>
      </c>
      <c r="H124" s="3"/>
      <c r="I124" s="3"/>
      <c r="J124" s="3"/>
      <c r="K124" s="3"/>
      <c r="L124" s="3" t="s">
        <v>111</v>
      </c>
      <c r="M124" s="3" t="s">
        <v>109</v>
      </c>
      <c r="N124" s="3" t="s">
        <v>111</v>
      </c>
      <c r="O124" s="3" t="s">
        <v>111</v>
      </c>
      <c r="P124" s="3" t="s">
        <v>109</v>
      </c>
      <c r="Q124" s="3" t="s">
        <v>109</v>
      </c>
      <c r="R124" s="3" t="s">
        <v>111</v>
      </c>
      <c r="S124" s="3" t="s">
        <v>109</v>
      </c>
      <c r="T124" s="3" t="s">
        <v>109</v>
      </c>
      <c r="U124" s="3" t="s">
        <v>111</v>
      </c>
      <c r="V124" s="3" t="s">
        <v>109</v>
      </c>
      <c r="W124" s="3" t="s">
        <v>109</v>
      </c>
      <c r="X124" s="3" t="s">
        <v>111</v>
      </c>
      <c r="Y124" s="3" t="s">
        <v>111</v>
      </c>
      <c r="Z124" s="3" t="s">
        <v>111</v>
      </c>
      <c r="AA124" s="3" t="s">
        <v>109</v>
      </c>
      <c r="AB124" s="3" t="s">
        <v>109</v>
      </c>
      <c r="AC124" s="3" t="s">
        <v>111</v>
      </c>
      <c r="AD124" s="3" t="s">
        <v>111</v>
      </c>
      <c r="AE124" s="3" t="s">
        <v>111</v>
      </c>
      <c r="AF124" s="3" t="s">
        <v>111</v>
      </c>
      <c r="AG124" s="3" t="s">
        <v>109</v>
      </c>
      <c r="AH124" s="3" t="s">
        <v>111</v>
      </c>
      <c r="AI124" s="3" t="s">
        <v>111</v>
      </c>
      <c r="AJ124" s="3" t="s">
        <v>109</v>
      </c>
      <c r="AK124" s="3">
        <v>80</v>
      </c>
      <c r="AL124" s="3">
        <v>7</v>
      </c>
      <c r="AM124" s="3">
        <v>3</v>
      </c>
      <c r="AN124" s="3" t="s">
        <v>109</v>
      </c>
      <c r="AO124" s="3">
        <v>100</v>
      </c>
      <c r="AP124" s="3">
        <v>100</v>
      </c>
      <c r="AQ124" s="3">
        <v>80</v>
      </c>
      <c r="AR124" s="3">
        <v>10</v>
      </c>
      <c r="AS124" s="3">
        <v>5</v>
      </c>
      <c r="AT124" s="3">
        <v>5</v>
      </c>
      <c r="AU124" s="3">
        <v>0</v>
      </c>
      <c r="AV124" s="3">
        <v>100</v>
      </c>
      <c r="AW124" s="3">
        <v>0</v>
      </c>
      <c r="AX124" s="3">
        <v>0</v>
      </c>
      <c r="AY124" s="3">
        <v>0</v>
      </c>
      <c r="AZ124" s="3">
        <v>10</v>
      </c>
      <c r="BA124" s="3">
        <v>90</v>
      </c>
      <c r="BB124" s="3"/>
      <c r="BC124" s="3"/>
      <c r="BD124" s="3">
        <v>100</v>
      </c>
      <c r="BE124" s="3"/>
      <c r="BF124" s="3">
        <v>30</v>
      </c>
      <c r="BG124" s="3"/>
      <c r="BH124" s="3"/>
      <c r="BI124" s="3"/>
      <c r="BJ124" s="3"/>
      <c r="BK124" s="3"/>
      <c r="BL124" s="3"/>
      <c r="BM124" s="3"/>
      <c r="BN124" s="3"/>
      <c r="BO124" s="3"/>
      <c r="BP124" s="3"/>
      <c r="BQ124" s="3"/>
      <c r="BR124" s="3"/>
      <c r="BS124" s="3"/>
      <c r="BT124" s="3"/>
      <c r="BU124" s="3">
        <v>10</v>
      </c>
      <c r="BV124" s="3">
        <v>6</v>
      </c>
      <c r="BW124" s="3">
        <v>8</v>
      </c>
      <c r="BX124" s="3">
        <v>5</v>
      </c>
      <c r="BY124" s="3">
        <v>7</v>
      </c>
      <c r="BZ124" s="3">
        <v>8</v>
      </c>
      <c r="CA124" s="3">
        <v>1</v>
      </c>
      <c r="CB124" s="3">
        <v>1</v>
      </c>
      <c r="CC124" s="3"/>
      <c r="CD124" s="3" t="s">
        <v>109</v>
      </c>
      <c r="CE124" s="3" t="s">
        <v>111</v>
      </c>
      <c r="CF124" s="3" t="s">
        <v>109</v>
      </c>
      <c r="CG124" s="3" t="s">
        <v>111</v>
      </c>
      <c r="CH124" s="3" t="s">
        <v>111</v>
      </c>
      <c r="CI124" s="3" t="s">
        <v>111</v>
      </c>
      <c r="CJ124" s="3" t="s">
        <v>111</v>
      </c>
      <c r="CK124" s="3" t="s">
        <v>111</v>
      </c>
      <c r="CL124" s="3" t="s">
        <v>111</v>
      </c>
      <c r="CM124" s="3">
        <v>55000</v>
      </c>
      <c r="CN124" s="3" t="s">
        <v>121</v>
      </c>
      <c r="CO124" s="3">
        <v>30000</v>
      </c>
      <c r="CP124" s="3"/>
      <c r="CQ124" s="3">
        <v>2016</v>
      </c>
      <c r="CR124" s="3"/>
      <c r="CS124" s="3">
        <v>40</v>
      </c>
      <c r="CT124" s="3">
        <v>60</v>
      </c>
      <c r="CU124" s="3">
        <v>0</v>
      </c>
      <c r="CV124" s="3">
        <v>100</v>
      </c>
      <c r="CW124" s="3">
        <v>0</v>
      </c>
      <c r="CX124" s="3">
        <v>0</v>
      </c>
      <c r="CY124" s="3">
        <v>0</v>
      </c>
      <c r="CZ124" s="3">
        <v>0</v>
      </c>
      <c r="DA124" s="3">
        <v>100</v>
      </c>
      <c r="DB124" s="3">
        <v>0</v>
      </c>
      <c r="DC124" s="3">
        <v>0</v>
      </c>
      <c r="DD124" s="3">
        <v>0</v>
      </c>
      <c r="DE124" s="3">
        <v>0</v>
      </c>
      <c r="DF124" s="3"/>
      <c r="DG124" s="3">
        <v>10</v>
      </c>
      <c r="DH124" s="3">
        <v>40</v>
      </c>
      <c r="DI124" s="3">
        <v>0</v>
      </c>
      <c r="DJ124" s="3">
        <v>0</v>
      </c>
      <c r="DK124" s="3">
        <v>40</v>
      </c>
      <c r="DL124" s="3">
        <v>10</v>
      </c>
      <c r="DM124" s="3">
        <v>0</v>
      </c>
      <c r="DN124" s="3">
        <v>0</v>
      </c>
      <c r="DO124" s="3">
        <v>0</v>
      </c>
      <c r="DP124" s="3"/>
      <c r="DQ124" s="3">
        <v>1.5</v>
      </c>
      <c r="DR124" s="3">
        <v>0</v>
      </c>
      <c r="DS124" s="3">
        <v>2016</v>
      </c>
      <c r="DT124" s="3">
        <v>2016</v>
      </c>
      <c r="DU124" s="3" t="s">
        <v>109</v>
      </c>
      <c r="DV124" s="3" t="s">
        <v>111</v>
      </c>
      <c r="DW124" s="3" t="s">
        <v>111</v>
      </c>
      <c r="DX124" s="3" t="s">
        <v>111</v>
      </c>
      <c r="DY124" s="3" t="s">
        <v>111</v>
      </c>
      <c r="DZ124" s="3" t="s">
        <v>111</v>
      </c>
      <c r="EA124" s="3" t="s">
        <v>111</v>
      </c>
      <c r="EB124" s="3" t="s">
        <v>111</v>
      </c>
    </row>
    <row r="125" spans="1:133" x14ac:dyDescent="0.2">
      <c r="A125" s="2" t="s">
        <v>211</v>
      </c>
      <c r="B125" s="2" t="s">
        <v>236</v>
      </c>
      <c r="C125" s="2" t="s">
        <v>166</v>
      </c>
      <c r="D125" s="2" t="s">
        <v>109</v>
      </c>
      <c r="E125" s="2" t="s">
        <v>116</v>
      </c>
      <c r="F125" s="3">
        <v>30</v>
      </c>
      <c r="G125" s="2" t="s">
        <v>109</v>
      </c>
      <c r="H125" s="2" t="s">
        <v>109</v>
      </c>
      <c r="I125" s="2" t="s">
        <v>111</v>
      </c>
      <c r="J125" s="2" t="s">
        <v>111</v>
      </c>
      <c r="K125" s="2" t="s">
        <v>111</v>
      </c>
      <c r="L125" s="2" t="s">
        <v>111</v>
      </c>
      <c r="M125" s="2" t="s">
        <v>109</v>
      </c>
      <c r="N125" s="2" t="s">
        <v>109</v>
      </c>
      <c r="O125" s="2" t="s">
        <v>111</v>
      </c>
      <c r="P125" s="2" t="s">
        <v>109</v>
      </c>
      <c r="Q125" s="2" t="s">
        <v>109</v>
      </c>
      <c r="R125" s="2" t="s">
        <v>111</v>
      </c>
      <c r="S125" s="2" t="s">
        <v>109</v>
      </c>
      <c r="T125" s="2" t="s">
        <v>109</v>
      </c>
      <c r="U125" s="2" t="s">
        <v>111</v>
      </c>
      <c r="V125" s="2" t="s">
        <v>109</v>
      </c>
      <c r="W125" s="2" t="s">
        <v>111</v>
      </c>
      <c r="X125" s="2" t="s">
        <v>111</v>
      </c>
      <c r="AE125" s="2" t="s">
        <v>109</v>
      </c>
      <c r="AF125" s="2" t="s">
        <v>109</v>
      </c>
      <c r="AG125" s="2" t="s">
        <v>111</v>
      </c>
      <c r="AH125" s="3" t="s">
        <v>111</v>
      </c>
      <c r="AI125" s="2" t="s">
        <v>111</v>
      </c>
      <c r="AJ125" s="2" t="s">
        <v>109</v>
      </c>
      <c r="AK125" s="2">
        <v>50</v>
      </c>
      <c r="AL125" s="2">
        <v>2</v>
      </c>
      <c r="AM125" s="2">
        <v>20</v>
      </c>
      <c r="AN125" s="3" t="s">
        <v>109</v>
      </c>
    </row>
    <row r="126" spans="1:133" x14ac:dyDescent="0.2">
      <c r="A126" s="2" t="s">
        <v>229</v>
      </c>
      <c r="B126" s="2" t="s">
        <v>215</v>
      </c>
      <c r="C126" s="2" t="s">
        <v>166</v>
      </c>
      <c r="D126" s="2" t="s">
        <v>109</v>
      </c>
    </row>
    <row r="127" spans="1:133" x14ac:dyDescent="0.2">
      <c r="A127" s="8" t="s">
        <v>223</v>
      </c>
      <c r="B127" s="2" t="s">
        <v>237</v>
      </c>
      <c r="C127" s="2" t="s">
        <v>166</v>
      </c>
      <c r="D127" s="2" t="s">
        <v>109</v>
      </c>
      <c r="E127" s="2" t="s">
        <v>116</v>
      </c>
      <c r="F127" s="3">
        <v>60</v>
      </c>
      <c r="G127" s="2" t="s">
        <v>111</v>
      </c>
      <c r="L127" s="2" t="s">
        <v>111</v>
      </c>
      <c r="M127" s="2" t="s">
        <v>109</v>
      </c>
      <c r="N127" s="2" t="s">
        <v>111</v>
      </c>
      <c r="O127" s="2" t="s">
        <v>111</v>
      </c>
      <c r="P127" s="2" t="s">
        <v>109</v>
      </c>
      <c r="Q127" s="2" t="s">
        <v>111</v>
      </c>
      <c r="R127" s="2" t="s">
        <v>111</v>
      </c>
      <c r="V127" s="2" t="s">
        <v>109</v>
      </c>
      <c r="W127" s="2" t="s">
        <v>111</v>
      </c>
      <c r="X127" s="2" t="s">
        <v>111</v>
      </c>
      <c r="AB127" s="2" t="s">
        <v>109</v>
      </c>
      <c r="AC127" s="2" t="s">
        <v>111</v>
      </c>
      <c r="AD127" s="2" t="s">
        <v>111</v>
      </c>
      <c r="AK127" s="2">
        <v>75</v>
      </c>
      <c r="AL127" s="2">
        <v>25</v>
      </c>
      <c r="AM127" s="2">
        <v>50</v>
      </c>
      <c r="AN127" s="3" t="s">
        <v>109</v>
      </c>
      <c r="AO127" s="2">
        <v>75</v>
      </c>
      <c r="AP127" s="2">
        <v>75</v>
      </c>
      <c r="AQ127" s="2">
        <v>25</v>
      </c>
      <c r="AR127" s="2">
        <v>25</v>
      </c>
      <c r="AS127" s="2">
        <v>25</v>
      </c>
      <c r="AT127" s="2">
        <v>25</v>
      </c>
      <c r="AU127" s="2">
        <v>100</v>
      </c>
      <c r="AZ127" s="2">
        <v>25</v>
      </c>
      <c r="BB127" s="2">
        <v>50</v>
      </c>
      <c r="BC127" s="2">
        <v>75</v>
      </c>
      <c r="BD127" s="2">
        <v>25</v>
      </c>
      <c r="BE127" s="2">
        <v>50</v>
      </c>
      <c r="BF127" s="2">
        <v>10</v>
      </c>
      <c r="BG127" s="2">
        <v>25</v>
      </c>
      <c r="BJ127" s="2">
        <v>10</v>
      </c>
      <c r="BU127" s="2">
        <v>10</v>
      </c>
      <c r="BV127" s="2">
        <v>4</v>
      </c>
      <c r="BW127" s="2">
        <v>10</v>
      </c>
      <c r="BX127" s="2">
        <v>1</v>
      </c>
      <c r="BY127" s="2">
        <v>3</v>
      </c>
      <c r="BZ127" s="2">
        <v>7</v>
      </c>
      <c r="CA127" s="2">
        <v>5</v>
      </c>
      <c r="CD127" s="3" t="s">
        <v>109</v>
      </c>
      <c r="CE127" s="2" t="s">
        <v>109</v>
      </c>
      <c r="CF127" s="2" t="s">
        <v>111</v>
      </c>
      <c r="CG127" s="2" t="s">
        <v>111</v>
      </c>
      <c r="CH127" s="2" t="s">
        <v>111</v>
      </c>
      <c r="CI127" s="3" t="s">
        <v>111</v>
      </c>
      <c r="CJ127" s="2" t="s">
        <v>109</v>
      </c>
      <c r="CK127" s="3" t="s">
        <v>111</v>
      </c>
      <c r="CL127" s="3" t="s">
        <v>111</v>
      </c>
      <c r="CN127" s="2" t="s">
        <v>117</v>
      </c>
      <c r="DU127" s="3" t="s">
        <v>109</v>
      </c>
      <c r="DV127" s="3" t="s">
        <v>111</v>
      </c>
      <c r="DW127" s="3" t="s">
        <v>109</v>
      </c>
      <c r="DX127" s="3" t="s">
        <v>111</v>
      </c>
      <c r="DY127" s="3" t="s">
        <v>111</v>
      </c>
      <c r="DZ127" s="3" t="s">
        <v>111</v>
      </c>
      <c r="EA127" s="3" t="s">
        <v>111</v>
      </c>
      <c r="EB127" s="3" t="s">
        <v>111</v>
      </c>
      <c r="EC127" s="3" t="s">
        <v>111</v>
      </c>
    </row>
    <row r="128" spans="1:133" s="3" customFormat="1" x14ac:dyDescent="0.2">
      <c r="A128" s="2" t="s">
        <v>211</v>
      </c>
      <c r="B128" s="2" t="s">
        <v>236</v>
      </c>
      <c r="C128" s="2" t="s">
        <v>166</v>
      </c>
      <c r="D128" s="2" t="s">
        <v>109</v>
      </c>
      <c r="E128" s="2" t="s">
        <v>116</v>
      </c>
      <c r="F128" s="3">
        <v>13</v>
      </c>
      <c r="G128" s="2" t="s">
        <v>109</v>
      </c>
      <c r="H128" s="2" t="s">
        <v>109</v>
      </c>
      <c r="I128" s="2" t="s">
        <v>109</v>
      </c>
      <c r="J128" s="2" t="s">
        <v>109</v>
      </c>
      <c r="K128" s="2" t="s">
        <v>109</v>
      </c>
      <c r="L128" s="2" t="s">
        <v>109</v>
      </c>
      <c r="M128" s="2" t="s">
        <v>109</v>
      </c>
      <c r="N128" s="2" t="s">
        <v>109</v>
      </c>
      <c r="O128" s="2" t="s">
        <v>111</v>
      </c>
      <c r="P128" s="2" t="s">
        <v>109</v>
      </c>
      <c r="Q128" s="2" t="s">
        <v>109</v>
      </c>
      <c r="R128" s="2" t="s">
        <v>111</v>
      </c>
      <c r="S128" s="2" t="s">
        <v>109</v>
      </c>
      <c r="T128" s="2" t="s">
        <v>109</v>
      </c>
      <c r="U128" s="2" t="s">
        <v>111</v>
      </c>
      <c r="V128" s="2" t="s">
        <v>111</v>
      </c>
      <c r="W128" s="2" t="s">
        <v>111</v>
      </c>
      <c r="X128" s="2" t="s">
        <v>109</v>
      </c>
      <c r="Y128" s="2" t="s">
        <v>111</v>
      </c>
      <c r="Z128" s="2" t="s">
        <v>111</v>
      </c>
      <c r="AA128" s="2" t="s">
        <v>109</v>
      </c>
      <c r="AB128" s="2" t="s">
        <v>111</v>
      </c>
      <c r="AC128" s="2" t="s">
        <v>111</v>
      </c>
      <c r="AD128" s="2" t="s">
        <v>109</v>
      </c>
      <c r="AE128" s="2" t="s">
        <v>109</v>
      </c>
      <c r="AF128" s="2" t="s">
        <v>109</v>
      </c>
      <c r="AG128" s="2" t="s">
        <v>111</v>
      </c>
      <c r="AH128" s="3" t="s">
        <v>111</v>
      </c>
      <c r="AI128" s="2" t="s">
        <v>109</v>
      </c>
      <c r="AJ128" s="2" t="s">
        <v>111</v>
      </c>
      <c r="AK128" s="2">
        <v>95</v>
      </c>
      <c r="AL128" s="2">
        <v>15</v>
      </c>
      <c r="AM128" s="2">
        <v>50</v>
      </c>
      <c r="AN128" s="3" t="s">
        <v>109</v>
      </c>
      <c r="AO128" s="2">
        <v>95</v>
      </c>
      <c r="AP128" s="2">
        <v>100</v>
      </c>
      <c r="AQ128" s="2">
        <v>70</v>
      </c>
      <c r="AR128" s="2">
        <v>10</v>
      </c>
      <c r="AS128" s="2">
        <v>10</v>
      </c>
      <c r="AT128" s="2">
        <v>10</v>
      </c>
      <c r="AU128" s="2">
        <v>100</v>
      </c>
      <c r="AV128" s="2"/>
      <c r="AW128" s="2"/>
      <c r="AX128" s="2"/>
      <c r="AY128" s="2"/>
      <c r="AZ128" s="2">
        <v>20</v>
      </c>
      <c r="BA128" s="2">
        <v>80</v>
      </c>
      <c r="BB128" s="2">
        <v>100</v>
      </c>
      <c r="BC128" s="2"/>
      <c r="BD128" s="2">
        <v>40</v>
      </c>
      <c r="BE128" s="2"/>
      <c r="BF128" s="2">
        <v>79</v>
      </c>
      <c r="BG128" s="2"/>
      <c r="BH128" s="2">
        <v>1</v>
      </c>
      <c r="BI128" s="2"/>
      <c r="BJ128" s="2">
        <v>1</v>
      </c>
      <c r="BK128" s="2"/>
      <c r="BL128" s="2"/>
      <c r="BM128" s="2"/>
      <c r="BN128" s="2"/>
      <c r="BO128" s="2"/>
      <c r="BP128" s="2">
        <v>1</v>
      </c>
      <c r="BQ128" s="2"/>
      <c r="BR128" s="2"/>
      <c r="BS128" s="2"/>
      <c r="BT128" s="2"/>
      <c r="BU128" s="2">
        <v>8</v>
      </c>
      <c r="BV128" s="2">
        <v>8</v>
      </c>
      <c r="BW128" s="2">
        <v>8</v>
      </c>
      <c r="BX128" s="2">
        <v>5</v>
      </c>
      <c r="BY128" s="2">
        <v>10</v>
      </c>
      <c r="BZ128" s="2">
        <v>10</v>
      </c>
      <c r="CA128" s="2">
        <v>1</v>
      </c>
      <c r="CB128" s="2"/>
      <c r="CC128" s="2"/>
      <c r="CD128" s="3" t="s">
        <v>109</v>
      </c>
      <c r="CE128" s="2" t="s">
        <v>109</v>
      </c>
      <c r="CF128" s="2" t="s">
        <v>109</v>
      </c>
      <c r="CG128" s="2" t="s">
        <v>111</v>
      </c>
      <c r="CH128" s="2" t="s">
        <v>111</v>
      </c>
      <c r="CI128" s="3" t="s">
        <v>111</v>
      </c>
      <c r="CJ128" s="2" t="s">
        <v>109</v>
      </c>
      <c r="CK128" s="2" t="s">
        <v>109</v>
      </c>
      <c r="CL128" s="3" t="s">
        <v>111</v>
      </c>
      <c r="CM128" s="2">
        <v>89643</v>
      </c>
      <c r="CN128" s="2" t="s">
        <v>117</v>
      </c>
      <c r="CO128" s="3">
        <v>100000</v>
      </c>
      <c r="CP128" s="2"/>
      <c r="CQ128" s="2">
        <v>2017</v>
      </c>
      <c r="CR128" s="2"/>
      <c r="CS128" s="2">
        <v>20</v>
      </c>
      <c r="CT128" s="2">
        <v>80</v>
      </c>
      <c r="CU128" s="2">
        <v>5</v>
      </c>
      <c r="CV128" s="2">
        <v>95</v>
      </c>
      <c r="CW128" s="2">
        <v>0</v>
      </c>
      <c r="CX128" s="2">
        <v>5</v>
      </c>
      <c r="CY128" s="2">
        <v>0</v>
      </c>
      <c r="CZ128" s="2">
        <v>5</v>
      </c>
      <c r="DA128" s="2">
        <v>25</v>
      </c>
      <c r="DB128" s="2">
        <v>0</v>
      </c>
      <c r="DC128" s="2">
        <v>60</v>
      </c>
      <c r="DD128" s="2">
        <v>5</v>
      </c>
      <c r="DE128" s="2">
        <v>0</v>
      </c>
      <c r="DF128" s="2"/>
      <c r="DG128" s="2">
        <v>0</v>
      </c>
      <c r="DH128" s="2">
        <v>60</v>
      </c>
      <c r="DI128" s="2">
        <v>0</v>
      </c>
      <c r="DJ128" s="2">
        <v>30</v>
      </c>
      <c r="DK128" s="2">
        <v>10</v>
      </c>
      <c r="DL128" s="2">
        <v>0</v>
      </c>
      <c r="DM128" s="2">
        <v>0</v>
      </c>
      <c r="DN128" s="2">
        <v>0</v>
      </c>
      <c r="DO128" s="2">
        <v>0</v>
      </c>
      <c r="DP128" s="2"/>
      <c r="DQ128" s="2">
        <v>7</v>
      </c>
      <c r="DR128" s="2">
        <v>25</v>
      </c>
      <c r="DS128" s="2">
        <v>2017</v>
      </c>
      <c r="DT128" s="2">
        <v>2017</v>
      </c>
      <c r="DU128" s="3" t="s">
        <v>109</v>
      </c>
      <c r="DV128" s="3" t="s">
        <v>111</v>
      </c>
      <c r="DW128" s="3" t="s">
        <v>111</v>
      </c>
      <c r="DX128" s="3" t="s">
        <v>111</v>
      </c>
      <c r="DY128" s="3" t="s">
        <v>111</v>
      </c>
      <c r="DZ128" s="3" t="s">
        <v>111</v>
      </c>
      <c r="EA128" s="3" t="s">
        <v>111</v>
      </c>
      <c r="EB128" s="3" t="s">
        <v>111</v>
      </c>
      <c r="EC128" s="3" t="s">
        <v>111</v>
      </c>
    </row>
    <row r="129" spans="1:133" x14ac:dyDescent="0.2">
      <c r="A129" s="2" t="s">
        <v>228</v>
      </c>
      <c r="B129" s="2" t="s">
        <v>237</v>
      </c>
      <c r="C129" s="2" t="s">
        <v>166</v>
      </c>
      <c r="D129" s="2" t="s">
        <v>109</v>
      </c>
      <c r="E129" s="2" t="s">
        <v>114</v>
      </c>
      <c r="F129" s="3">
        <v>350</v>
      </c>
      <c r="G129" s="2" t="s">
        <v>109</v>
      </c>
      <c r="H129" s="2" t="s">
        <v>109</v>
      </c>
      <c r="I129" s="2" t="s">
        <v>109</v>
      </c>
      <c r="J129" s="2" t="s">
        <v>109</v>
      </c>
      <c r="K129" s="2" t="s">
        <v>109</v>
      </c>
      <c r="L129" s="2" t="s">
        <v>109</v>
      </c>
      <c r="M129" s="2" t="s">
        <v>109</v>
      </c>
      <c r="N129" s="2" t="s">
        <v>109</v>
      </c>
      <c r="O129" s="2" t="s">
        <v>111</v>
      </c>
      <c r="P129" s="2" t="s">
        <v>109</v>
      </c>
      <c r="Q129" s="2" t="s">
        <v>109</v>
      </c>
      <c r="R129" s="2" t="s">
        <v>111</v>
      </c>
      <c r="S129" s="2" t="s">
        <v>109</v>
      </c>
      <c r="T129" s="2" t="s">
        <v>109</v>
      </c>
      <c r="U129" s="2" t="s">
        <v>111</v>
      </c>
      <c r="V129" s="2" t="s">
        <v>111</v>
      </c>
      <c r="W129" s="2" t="s">
        <v>111</v>
      </c>
      <c r="X129" s="2" t="s">
        <v>109</v>
      </c>
      <c r="Y129" s="2" t="s">
        <v>111</v>
      </c>
      <c r="Z129" s="2" t="s">
        <v>111</v>
      </c>
      <c r="AA129" s="2" t="s">
        <v>109</v>
      </c>
      <c r="AB129" s="2" t="s">
        <v>111</v>
      </c>
      <c r="AC129" s="2" t="s">
        <v>111</v>
      </c>
      <c r="AD129" s="2" t="s">
        <v>109</v>
      </c>
      <c r="AE129" s="2" t="s">
        <v>109</v>
      </c>
      <c r="AF129" s="2" t="s">
        <v>109</v>
      </c>
      <c r="AG129" s="2" t="s">
        <v>111</v>
      </c>
      <c r="AH129" s="3" t="s">
        <v>111</v>
      </c>
      <c r="AI129" s="2" t="s">
        <v>109</v>
      </c>
      <c r="AJ129" s="2" t="s">
        <v>111</v>
      </c>
      <c r="AK129" s="2">
        <v>90</v>
      </c>
      <c r="AL129" s="2">
        <v>40</v>
      </c>
      <c r="AM129" s="2">
        <v>60</v>
      </c>
      <c r="AN129" s="3" t="s">
        <v>109</v>
      </c>
      <c r="AO129" s="2">
        <v>90</v>
      </c>
      <c r="AP129" s="2">
        <v>60</v>
      </c>
      <c r="AQ129" s="2">
        <v>15</v>
      </c>
      <c r="AR129" s="2">
        <v>0</v>
      </c>
      <c r="AS129" s="2">
        <v>10</v>
      </c>
      <c r="AT129" s="2">
        <v>75</v>
      </c>
      <c r="AU129" s="2">
        <v>10</v>
      </c>
      <c r="AW129" s="2">
        <v>90</v>
      </c>
      <c r="AY129" s="2">
        <v>0</v>
      </c>
      <c r="AZ129" s="2">
        <v>20</v>
      </c>
      <c r="BA129" s="2">
        <v>80</v>
      </c>
      <c r="BB129" s="2">
        <v>70</v>
      </c>
      <c r="BC129" s="2">
        <v>90</v>
      </c>
      <c r="BD129" s="2">
        <v>5</v>
      </c>
      <c r="BE129" s="2">
        <v>5</v>
      </c>
      <c r="BF129" s="2">
        <v>10</v>
      </c>
      <c r="BG129" s="2">
        <v>10</v>
      </c>
      <c r="BJ129" s="2">
        <v>10</v>
      </c>
      <c r="BK129" s="2">
        <v>15</v>
      </c>
      <c r="BP129" s="2">
        <v>15</v>
      </c>
      <c r="BQ129" s="2">
        <v>20</v>
      </c>
      <c r="BS129" s="2">
        <v>5</v>
      </c>
      <c r="BT129" s="2" t="s">
        <v>134</v>
      </c>
      <c r="BU129" s="2">
        <v>10</v>
      </c>
      <c r="BV129" s="2">
        <v>6</v>
      </c>
      <c r="BW129" s="2">
        <v>10</v>
      </c>
      <c r="BX129" s="2">
        <v>5</v>
      </c>
      <c r="BY129" s="2">
        <v>10</v>
      </c>
      <c r="BZ129" s="2">
        <v>10</v>
      </c>
      <c r="CA129" s="2">
        <v>6</v>
      </c>
      <c r="CB129" s="2">
        <v>10</v>
      </c>
      <c r="CC129" s="2" t="s">
        <v>135</v>
      </c>
      <c r="CD129" s="3" t="s">
        <v>109</v>
      </c>
      <c r="CE129" s="2" t="s">
        <v>109</v>
      </c>
      <c r="CF129" s="2" t="s">
        <v>111</v>
      </c>
      <c r="CG129" s="2" t="s">
        <v>111</v>
      </c>
      <c r="CH129" s="2" t="s">
        <v>109</v>
      </c>
      <c r="CI129" s="3" t="s">
        <v>109</v>
      </c>
      <c r="CJ129" s="3" t="s">
        <v>111</v>
      </c>
      <c r="CK129" s="2" t="s">
        <v>109</v>
      </c>
      <c r="CL129" s="3" t="s">
        <v>111</v>
      </c>
      <c r="CM129" s="5">
        <v>9704135</v>
      </c>
      <c r="CN129" s="2" t="s">
        <v>115</v>
      </c>
      <c r="CO129" s="55">
        <v>45000000</v>
      </c>
      <c r="CP129" s="5">
        <v>15000000</v>
      </c>
      <c r="CQ129" s="2">
        <v>2016</v>
      </c>
      <c r="CR129" s="2">
        <v>2016</v>
      </c>
      <c r="CS129" s="2">
        <v>50</v>
      </c>
      <c r="CT129" s="2">
        <v>50</v>
      </c>
      <c r="CU129" s="2">
        <v>75</v>
      </c>
      <c r="CV129" s="2">
        <v>25</v>
      </c>
      <c r="CW129" s="2">
        <v>7</v>
      </c>
      <c r="CX129" s="2">
        <v>7</v>
      </c>
      <c r="CY129" s="2">
        <v>10</v>
      </c>
      <c r="CZ129" s="2">
        <v>8</v>
      </c>
      <c r="DA129" s="2">
        <v>23</v>
      </c>
      <c r="DB129" s="2">
        <v>5</v>
      </c>
      <c r="DC129" s="2">
        <v>20</v>
      </c>
      <c r="DD129" s="2">
        <v>20</v>
      </c>
      <c r="DE129" s="2">
        <v>0</v>
      </c>
      <c r="DG129" s="2">
        <v>20</v>
      </c>
      <c r="DH129" s="2">
        <v>20</v>
      </c>
      <c r="DI129" s="2">
        <v>15</v>
      </c>
      <c r="DJ129" s="2">
        <v>5</v>
      </c>
      <c r="DK129" s="2">
        <v>10</v>
      </c>
      <c r="DL129" s="2">
        <v>15</v>
      </c>
      <c r="DM129" s="2">
        <v>5</v>
      </c>
      <c r="DN129" s="2">
        <v>10</v>
      </c>
      <c r="DO129" s="2">
        <v>0</v>
      </c>
      <c r="DQ129" s="2">
        <v>250</v>
      </c>
      <c r="DR129" s="2">
        <v>0</v>
      </c>
      <c r="DS129" s="2">
        <v>2016</v>
      </c>
      <c r="DT129" s="2">
        <v>2016</v>
      </c>
      <c r="DU129" s="3" t="s">
        <v>109</v>
      </c>
      <c r="DV129" s="3" t="s">
        <v>111</v>
      </c>
      <c r="DW129" s="3" t="s">
        <v>109</v>
      </c>
      <c r="DX129" s="3" t="s">
        <v>111</v>
      </c>
      <c r="DY129" s="3" t="s">
        <v>109</v>
      </c>
      <c r="DZ129" s="3" t="s">
        <v>109</v>
      </c>
      <c r="EA129" s="3" t="s">
        <v>111</v>
      </c>
      <c r="EB129" s="3" t="s">
        <v>111</v>
      </c>
      <c r="EC129" s="3" t="s">
        <v>111</v>
      </c>
    </row>
    <row r="130" spans="1:133" x14ac:dyDescent="0.2">
      <c r="A130" s="2" t="s">
        <v>216</v>
      </c>
      <c r="B130" s="2" t="s">
        <v>238</v>
      </c>
      <c r="C130" s="2" t="s">
        <v>166</v>
      </c>
      <c r="D130" s="2" t="s">
        <v>109</v>
      </c>
      <c r="E130" s="2" t="s">
        <v>114</v>
      </c>
      <c r="F130" s="3">
        <v>240</v>
      </c>
      <c r="G130" s="2" t="s">
        <v>109</v>
      </c>
      <c r="H130" s="2" t="s">
        <v>109</v>
      </c>
      <c r="I130" s="2" t="s">
        <v>111</v>
      </c>
      <c r="J130" s="2" t="s">
        <v>111</v>
      </c>
      <c r="K130" s="2" t="s">
        <v>111</v>
      </c>
      <c r="L130" s="2" t="s">
        <v>109</v>
      </c>
      <c r="M130" s="2" t="s">
        <v>109</v>
      </c>
      <c r="N130" s="2" t="s">
        <v>109</v>
      </c>
      <c r="O130" s="2" t="s">
        <v>111</v>
      </c>
      <c r="P130" s="2" t="s">
        <v>109</v>
      </c>
      <c r="Q130" s="2" t="s">
        <v>109</v>
      </c>
      <c r="R130" s="2" t="s">
        <v>111</v>
      </c>
      <c r="S130" s="2" t="s">
        <v>109</v>
      </c>
      <c r="T130" s="2" t="s">
        <v>109</v>
      </c>
      <c r="U130" s="2" t="s">
        <v>111</v>
      </c>
      <c r="V130" s="2" t="s">
        <v>109</v>
      </c>
      <c r="W130" s="2" t="s">
        <v>109</v>
      </c>
      <c r="X130" s="2" t="s">
        <v>111</v>
      </c>
      <c r="Y130" s="2" t="s">
        <v>109</v>
      </c>
      <c r="Z130" s="2" t="s">
        <v>109</v>
      </c>
      <c r="AA130" s="2" t="s">
        <v>111</v>
      </c>
      <c r="AB130" s="2" t="s">
        <v>111</v>
      </c>
      <c r="AC130" s="2" t="s">
        <v>111</v>
      </c>
      <c r="AD130" s="2" t="s">
        <v>109</v>
      </c>
      <c r="AE130" s="2" t="s">
        <v>109</v>
      </c>
      <c r="AF130" s="2" t="s">
        <v>111</v>
      </c>
      <c r="AG130" s="2" t="s">
        <v>111</v>
      </c>
      <c r="AH130" s="3" t="s">
        <v>111</v>
      </c>
      <c r="AI130" s="2" t="s">
        <v>111</v>
      </c>
      <c r="AJ130" s="2" t="s">
        <v>109</v>
      </c>
      <c r="AK130" s="2">
        <v>90</v>
      </c>
      <c r="AL130" s="2">
        <v>85</v>
      </c>
      <c r="AM130" s="2">
        <v>15</v>
      </c>
      <c r="AN130" s="3" t="s">
        <v>109</v>
      </c>
      <c r="AO130" s="2">
        <v>30</v>
      </c>
      <c r="AP130" s="2">
        <v>25</v>
      </c>
      <c r="AQ130" s="2">
        <v>35</v>
      </c>
      <c r="AR130" s="2">
        <v>0</v>
      </c>
      <c r="AS130" s="2">
        <v>5</v>
      </c>
      <c r="AT130" s="2">
        <v>60</v>
      </c>
      <c r="AU130" s="2">
        <v>70</v>
      </c>
      <c r="AV130" s="2">
        <v>5</v>
      </c>
      <c r="AW130" s="2">
        <v>0</v>
      </c>
      <c r="AX130" s="2">
        <v>25</v>
      </c>
      <c r="AY130" s="2">
        <v>80</v>
      </c>
      <c r="AZ130" s="2">
        <v>80</v>
      </c>
      <c r="BA130" s="2">
        <v>25</v>
      </c>
      <c r="BB130" s="2">
        <v>25</v>
      </c>
      <c r="BC130" s="2">
        <v>45</v>
      </c>
      <c r="BD130" s="2">
        <v>7</v>
      </c>
      <c r="BE130" s="2">
        <v>45</v>
      </c>
      <c r="BF130" s="2">
        <v>7</v>
      </c>
      <c r="BG130" s="2">
        <v>45</v>
      </c>
      <c r="BQ130" s="2">
        <v>10</v>
      </c>
      <c r="BR130" s="2">
        <v>5</v>
      </c>
      <c r="BS130" s="2">
        <v>5</v>
      </c>
      <c r="BT130" s="2" t="s">
        <v>131</v>
      </c>
      <c r="BU130" s="2">
        <v>10</v>
      </c>
      <c r="BV130" s="2">
        <v>1</v>
      </c>
      <c r="BW130" s="2">
        <v>8</v>
      </c>
      <c r="BX130" s="2">
        <v>2</v>
      </c>
      <c r="BY130" s="2">
        <v>10</v>
      </c>
      <c r="BZ130" s="2">
        <v>9</v>
      </c>
      <c r="CA130" s="2">
        <v>10</v>
      </c>
      <c r="CC130" s="2" t="s">
        <v>132</v>
      </c>
      <c r="CD130" s="3" t="s">
        <v>109</v>
      </c>
      <c r="CE130" s="2" t="s">
        <v>109</v>
      </c>
      <c r="CF130" s="2" t="s">
        <v>111</v>
      </c>
      <c r="CG130" s="2" t="s">
        <v>111</v>
      </c>
      <c r="CH130" s="2" t="s">
        <v>111</v>
      </c>
      <c r="CI130" s="3" t="s">
        <v>109</v>
      </c>
      <c r="CJ130" s="3" t="s">
        <v>111</v>
      </c>
      <c r="CK130" s="2" t="s">
        <v>109</v>
      </c>
      <c r="CL130" s="3" t="s">
        <v>111</v>
      </c>
      <c r="CM130" s="2">
        <v>1074836</v>
      </c>
      <c r="CN130" s="2" t="s">
        <v>117</v>
      </c>
      <c r="CO130" s="3">
        <v>300000</v>
      </c>
      <c r="CP130" s="2">
        <v>150000</v>
      </c>
      <c r="CQ130" s="2">
        <v>2017</v>
      </c>
      <c r="CR130" s="2">
        <v>2017</v>
      </c>
      <c r="CS130" s="2">
        <v>30</v>
      </c>
      <c r="CT130" s="2">
        <v>70</v>
      </c>
      <c r="CU130" s="2">
        <v>80</v>
      </c>
      <c r="CV130" s="2">
        <v>20</v>
      </c>
      <c r="CW130" s="2">
        <v>5</v>
      </c>
      <c r="CX130" s="2">
        <v>5</v>
      </c>
      <c r="CY130" s="2">
        <v>0</v>
      </c>
      <c r="CZ130" s="2">
        <v>1</v>
      </c>
      <c r="DA130" s="2">
        <v>70</v>
      </c>
      <c r="DB130" s="2">
        <v>1</v>
      </c>
      <c r="DC130" s="2">
        <v>5</v>
      </c>
      <c r="DD130" s="2">
        <v>5</v>
      </c>
      <c r="DE130" s="2">
        <v>8</v>
      </c>
      <c r="DF130" s="2" t="s">
        <v>133</v>
      </c>
      <c r="DG130" s="2">
        <v>40</v>
      </c>
      <c r="DH130" s="2">
        <v>20</v>
      </c>
      <c r="DI130" s="2">
        <v>2</v>
      </c>
      <c r="DJ130" s="2">
        <v>20</v>
      </c>
      <c r="DK130" s="2">
        <v>3</v>
      </c>
      <c r="DL130" s="2">
        <v>4</v>
      </c>
      <c r="DM130" s="2">
        <v>1</v>
      </c>
      <c r="DN130" s="2">
        <v>10</v>
      </c>
      <c r="DO130" s="2">
        <v>0</v>
      </c>
      <c r="DQ130" s="2">
        <v>6.5</v>
      </c>
      <c r="DR130" s="2">
        <v>0</v>
      </c>
      <c r="DS130" s="3"/>
      <c r="DT130" s="3">
        <v>0</v>
      </c>
      <c r="DU130" s="3" t="s">
        <v>109</v>
      </c>
      <c r="DV130" s="3" t="s">
        <v>111</v>
      </c>
      <c r="DW130" s="3" t="s">
        <v>109</v>
      </c>
      <c r="DX130" s="3" t="s">
        <v>111</v>
      </c>
      <c r="DY130" s="3" t="s">
        <v>109</v>
      </c>
      <c r="DZ130" s="3" t="s">
        <v>111</v>
      </c>
      <c r="EA130" s="3" t="s">
        <v>111</v>
      </c>
      <c r="EB130" s="3" t="s">
        <v>111</v>
      </c>
      <c r="EC130" s="3" t="s">
        <v>111</v>
      </c>
    </row>
    <row r="131" spans="1:133" x14ac:dyDescent="0.2">
      <c r="A131" s="2" t="s">
        <v>212</v>
      </c>
      <c r="B131" s="2" t="s">
        <v>215</v>
      </c>
      <c r="C131" s="2" t="s">
        <v>166</v>
      </c>
      <c r="D131" s="2" t="s">
        <v>109</v>
      </c>
      <c r="E131" s="2" t="s">
        <v>114</v>
      </c>
      <c r="F131" s="3">
        <v>149.5</v>
      </c>
      <c r="G131" s="2" t="s">
        <v>109</v>
      </c>
      <c r="H131" s="2" t="s">
        <v>109</v>
      </c>
      <c r="I131" s="2" t="s">
        <v>111</v>
      </c>
      <c r="J131" s="2" t="s">
        <v>111</v>
      </c>
      <c r="K131" s="2" t="s">
        <v>111</v>
      </c>
      <c r="L131" s="2" t="s">
        <v>109</v>
      </c>
      <c r="M131" s="2" t="s">
        <v>109</v>
      </c>
      <c r="N131" s="2" t="s">
        <v>109</v>
      </c>
      <c r="O131" s="2" t="s">
        <v>111</v>
      </c>
      <c r="P131" s="2" t="s">
        <v>109</v>
      </c>
      <c r="Q131" s="2" t="s">
        <v>109</v>
      </c>
      <c r="R131" s="2" t="s">
        <v>111</v>
      </c>
      <c r="S131" s="2" t="s">
        <v>109</v>
      </c>
      <c r="T131" s="2" t="s">
        <v>109</v>
      </c>
      <c r="U131" s="2" t="s">
        <v>111</v>
      </c>
      <c r="V131" s="2" t="s">
        <v>109</v>
      </c>
      <c r="W131" s="2" t="s">
        <v>109</v>
      </c>
      <c r="X131" s="2" t="s">
        <v>111</v>
      </c>
      <c r="Y131" s="2" t="s">
        <v>111</v>
      </c>
      <c r="Z131" s="2" t="s">
        <v>111</v>
      </c>
      <c r="AA131" s="2" t="s">
        <v>109</v>
      </c>
      <c r="AB131" s="2" t="s">
        <v>111</v>
      </c>
      <c r="AC131" s="2" t="s">
        <v>111</v>
      </c>
      <c r="AD131" s="2" t="s">
        <v>109</v>
      </c>
      <c r="AE131" s="2" t="s">
        <v>109</v>
      </c>
      <c r="AF131" s="2" t="s">
        <v>109</v>
      </c>
      <c r="AG131" s="2" t="s">
        <v>111</v>
      </c>
      <c r="AH131" s="3" t="s">
        <v>109</v>
      </c>
      <c r="AI131" s="2" t="s">
        <v>109</v>
      </c>
      <c r="AJ131" s="2" t="s">
        <v>111</v>
      </c>
      <c r="AK131" s="2">
        <v>90</v>
      </c>
      <c r="AL131" s="2">
        <v>40</v>
      </c>
      <c r="AM131" s="2">
        <v>40</v>
      </c>
      <c r="AN131" s="3" t="s">
        <v>109</v>
      </c>
      <c r="AO131" s="2">
        <v>100</v>
      </c>
      <c r="AP131" s="2">
        <v>12</v>
      </c>
      <c r="AQ131" s="2">
        <v>0</v>
      </c>
      <c r="AR131" s="2">
        <v>5</v>
      </c>
      <c r="AS131" s="2">
        <v>80</v>
      </c>
      <c r="AT131" s="2">
        <v>15</v>
      </c>
      <c r="AY131" s="2">
        <v>10</v>
      </c>
      <c r="AZ131" s="2">
        <v>0</v>
      </c>
      <c r="BA131" s="2">
        <v>80</v>
      </c>
      <c r="BB131" s="2">
        <v>8</v>
      </c>
      <c r="BC131" s="2">
        <v>11</v>
      </c>
      <c r="BD131" s="2">
        <v>1</v>
      </c>
      <c r="BF131" s="2">
        <v>1</v>
      </c>
      <c r="BT131" s="2" t="s">
        <v>130</v>
      </c>
      <c r="BU131" s="2">
        <v>10</v>
      </c>
      <c r="BV131" s="2">
        <v>10</v>
      </c>
      <c r="BW131" s="2">
        <v>10</v>
      </c>
      <c r="BX131" s="2">
        <v>5</v>
      </c>
      <c r="BY131" s="2">
        <v>5</v>
      </c>
      <c r="BZ131" s="2">
        <v>5</v>
      </c>
      <c r="CA131" s="2">
        <v>8</v>
      </c>
      <c r="CB131" s="2">
        <v>5</v>
      </c>
      <c r="CD131" s="3" t="s">
        <v>109</v>
      </c>
      <c r="CE131" s="2" t="s">
        <v>109</v>
      </c>
      <c r="CF131" s="2" t="s">
        <v>111</v>
      </c>
      <c r="CG131" s="2" t="s">
        <v>111</v>
      </c>
      <c r="CH131" s="2" t="s">
        <v>109</v>
      </c>
      <c r="CI131" s="3" t="s">
        <v>109</v>
      </c>
      <c r="CJ131" s="2" t="s">
        <v>109</v>
      </c>
      <c r="CK131" s="2" t="s">
        <v>109</v>
      </c>
      <c r="CL131" s="3" t="s">
        <v>111</v>
      </c>
      <c r="CM131" s="2">
        <v>2000000</v>
      </c>
      <c r="CN131" s="2" t="s">
        <v>115</v>
      </c>
      <c r="CO131" s="3">
        <v>5910000</v>
      </c>
      <c r="CP131" s="2">
        <v>700000</v>
      </c>
      <c r="CQ131" s="2">
        <v>2016</v>
      </c>
      <c r="CR131" s="2">
        <v>2016</v>
      </c>
      <c r="CS131" s="2">
        <v>17</v>
      </c>
      <c r="CT131" s="2">
        <v>83</v>
      </c>
      <c r="CU131" s="2">
        <v>30</v>
      </c>
      <c r="CV131" s="2">
        <v>70</v>
      </c>
      <c r="CW131" s="2">
        <v>10</v>
      </c>
      <c r="CX131" s="2">
        <v>20</v>
      </c>
      <c r="CY131" s="2">
        <v>0</v>
      </c>
      <c r="CZ131" s="2">
        <v>2</v>
      </c>
      <c r="DA131" s="2">
        <v>40</v>
      </c>
      <c r="DB131" s="2">
        <v>10</v>
      </c>
      <c r="DC131" s="2">
        <v>18</v>
      </c>
      <c r="DD131" s="2">
        <v>0</v>
      </c>
      <c r="DE131" s="2">
        <v>0</v>
      </c>
      <c r="DG131" s="2">
        <v>55</v>
      </c>
      <c r="DH131" s="2">
        <v>20</v>
      </c>
      <c r="DI131" s="2">
        <v>5</v>
      </c>
      <c r="DJ131" s="2">
        <v>5</v>
      </c>
      <c r="DK131" s="2">
        <v>5</v>
      </c>
      <c r="DL131" s="2">
        <v>3</v>
      </c>
      <c r="DM131" s="2">
        <v>2</v>
      </c>
      <c r="DN131" s="2">
        <v>5</v>
      </c>
      <c r="DO131" s="2">
        <v>0</v>
      </c>
      <c r="DP131" s="2" t="s">
        <v>123</v>
      </c>
      <c r="DQ131" s="2">
        <v>34</v>
      </c>
      <c r="DR131" s="2">
        <v>1</v>
      </c>
      <c r="DS131" s="2">
        <v>2017</v>
      </c>
      <c r="DT131" s="2">
        <v>2017</v>
      </c>
      <c r="DU131" s="3" t="s">
        <v>109</v>
      </c>
      <c r="DV131" s="3" t="s">
        <v>111</v>
      </c>
      <c r="DW131" s="3" t="s">
        <v>109</v>
      </c>
      <c r="DX131" s="3" t="s">
        <v>111</v>
      </c>
      <c r="DY131" s="3" t="s">
        <v>111</v>
      </c>
      <c r="DZ131" s="3" t="s">
        <v>109</v>
      </c>
      <c r="EA131" s="3" t="s">
        <v>109</v>
      </c>
      <c r="EB131" s="3" t="s">
        <v>111</v>
      </c>
      <c r="EC131" s="3" t="s">
        <v>111</v>
      </c>
    </row>
    <row r="132" spans="1:133" x14ac:dyDescent="0.2">
      <c r="A132" s="8" t="s">
        <v>224</v>
      </c>
      <c r="B132" s="2" t="s">
        <v>238</v>
      </c>
      <c r="C132" s="2" t="s">
        <v>166</v>
      </c>
      <c r="D132" s="2" t="s">
        <v>109</v>
      </c>
      <c r="E132" s="2" t="s">
        <v>118</v>
      </c>
      <c r="F132" s="3">
        <v>4</v>
      </c>
      <c r="G132" s="2" t="s">
        <v>111</v>
      </c>
      <c r="L132" s="2" t="s">
        <v>111</v>
      </c>
      <c r="M132" s="2" t="s">
        <v>109</v>
      </c>
      <c r="N132" s="2" t="s">
        <v>109</v>
      </c>
      <c r="O132" s="2" t="s">
        <v>111</v>
      </c>
      <c r="P132" s="2" t="s">
        <v>109</v>
      </c>
      <c r="Q132" s="2" t="s">
        <v>109</v>
      </c>
      <c r="R132" s="2" t="s">
        <v>111</v>
      </c>
      <c r="S132" s="2" t="s">
        <v>109</v>
      </c>
      <c r="T132" s="2" t="s">
        <v>109</v>
      </c>
      <c r="U132" s="2" t="s">
        <v>111</v>
      </c>
      <c r="V132" s="2" t="s">
        <v>109</v>
      </c>
      <c r="W132" s="2" t="s">
        <v>109</v>
      </c>
      <c r="X132" s="2" t="s">
        <v>111</v>
      </c>
      <c r="Y132" s="2" t="s">
        <v>111</v>
      </c>
      <c r="Z132" s="2" t="s">
        <v>111</v>
      </c>
      <c r="AA132" s="2" t="s">
        <v>109</v>
      </c>
      <c r="AB132" s="2" t="s">
        <v>109</v>
      </c>
      <c r="AC132" s="2" t="s">
        <v>109</v>
      </c>
      <c r="AD132" s="2" t="s">
        <v>111</v>
      </c>
      <c r="AE132" s="2" t="s">
        <v>109</v>
      </c>
      <c r="AF132" s="2" t="s">
        <v>109</v>
      </c>
      <c r="AG132" s="2" t="s">
        <v>111</v>
      </c>
      <c r="AH132" s="3" t="s">
        <v>111</v>
      </c>
      <c r="AI132" s="2" t="s">
        <v>111</v>
      </c>
      <c r="AJ132" s="2" t="s">
        <v>109</v>
      </c>
      <c r="AK132" s="2">
        <v>90</v>
      </c>
      <c r="AL132" s="2">
        <v>63</v>
      </c>
      <c r="AM132" s="2">
        <v>28</v>
      </c>
      <c r="AN132" s="3" t="s">
        <v>109</v>
      </c>
      <c r="AO132" s="2">
        <v>68</v>
      </c>
      <c r="AP132" s="2">
        <v>49</v>
      </c>
      <c r="AQ132" s="2">
        <v>70</v>
      </c>
      <c r="AR132" s="2">
        <v>10</v>
      </c>
      <c r="AS132" s="2">
        <v>10</v>
      </c>
      <c r="AT132" s="2">
        <v>10</v>
      </c>
      <c r="AU132" s="2">
        <v>70</v>
      </c>
      <c r="AV132" s="2">
        <v>10</v>
      </c>
      <c r="AW132" s="2">
        <v>10</v>
      </c>
      <c r="AX132" s="2">
        <v>10</v>
      </c>
      <c r="AY132" s="2">
        <v>40</v>
      </c>
      <c r="AZ132" s="2">
        <v>20</v>
      </c>
      <c r="BA132" s="2">
        <v>40</v>
      </c>
      <c r="BB132" s="2">
        <v>70</v>
      </c>
      <c r="BC132" s="2">
        <v>90</v>
      </c>
      <c r="BU132" s="2">
        <v>5</v>
      </c>
      <c r="BV132" s="2">
        <v>7</v>
      </c>
      <c r="BW132" s="2">
        <v>8</v>
      </c>
      <c r="BX132" s="2">
        <v>3</v>
      </c>
      <c r="BY132" s="2">
        <v>4</v>
      </c>
      <c r="BZ132" s="2">
        <v>5</v>
      </c>
      <c r="CA132" s="2">
        <v>3</v>
      </c>
      <c r="CB132" s="2">
        <v>1</v>
      </c>
      <c r="CD132" s="3" t="s">
        <v>119</v>
      </c>
      <c r="CN132" s="2" t="s">
        <v>117</v>
      </c>
      <c r="CO132" s="3">
        <v>2500</v>
      </c>
      <c r="CQ132" s="2">
        <v>2016</v>
      </c>
      <c r="CS132" s="2">
        <v>20</v>
      </c>
      <c r="CT132" s="2">
        <v>80</v>
      </c>
      <c r="CU132" s="2">
        <v>99</v>
      </c>
      <c r="CV132" s="2">
        <v>1</v>
      </c>
      <c r="CW132" s="2">
        <v>20</v>
      </c>
      <c r="CX132" s="2">
        <v>10</v>
      </c>
      <c r="CY132" s="2">
        <v>0</v>
      </c>
      <c r="CZ132" s="2">
        <v>10</v>
      </c>
      <c r="DA132" s="2">
        <v>50</v>
      </c>
      <c r="DB132" s="2">
        <v>0</v>
      </c>
      <c r="DC132" s="2">
        <v>0</v>
      </c>
      <c r="DD132" s="2">
        <v>10</v>
      </c>
      <c r="DE132" s="2">
        <v>0</v>
      </c>
      <c r="DG132" s="2">
        <v>50</v>
      </c>
      <c r="DH132" s="2">
        <v>0</v>
      </c>
      <c r="DI132" s="2">
        <v>0</v>
      </c>
      <c r="DJ132" s="2">
        <v>0</v>
      </c>
      <c r="DK132" s="2">
        <v>50</v>
      </c>
      <c r="DL132" s="2">
        <v>0</v>
      </c>
      <c r="DM132" s="2">
        <v>0</v>
      </c>
      <c r="DN132" s="2">
        <v>0</v>
      </c>
      <c r="DO132" s="2">
        <v>0</v>
      </c>
      <c r="DQ132" s="2">
        <v>0.5</v>
      </c>
      <c r="DR132" s="2">
        <v>19</v>
      </c>
      <c r="DS132" s="2">
        <v>2016</v>
      </c>
      <c r="DT132" s="2">
        <v>2016</v>
      </c>
      <c r="DU132" s="3" t="s">
        <v>109</v>
      </c>
      <c r="DV132" s="3" t="s">
        <v>111</v>
      </c>
      <c r="DW132" s="3" t="s">
        <v>111</v>
      </c>
      <c r="DX132" s="3" t="s">
        <v>111</v>
      </c>
      <c r="DY132" s="3" t="s">
        <v>109</v>
      </c>
      <c r="DZ132" s="3" t="s">
        <v>111</v>
      </c>
      <c r="EA132" s="3" t="s">
        <v>111</v>
      </c>
      <c r="EB132" s="3" t="s">
        <v>111</v>
      </c>
      <c r="EC132" s="3" t="s">
        <v>111</v>
      </c>
    </row>
    <row r="133" spans="1:133" s="3" customFormat="1" x14ac:dyDescent="0.2">
      <c r="A133" s="84" t="s">
        <v>224</v>
      </c>
      <c r="B133" s="3" t="s">
        <v>238</v>
      </c>
      <c r="C133" s="3" t="s">
        <v>166</v>
      </c>
      <c r="D133" s="3" t="s">
        <v>109</v>
      </c>
      <c r="E133" s="3" t="s">
        <v>112</v>
      </c>
      <c r="F133" s="3">
        <v>2.5</v>
      </c>
      <c r="G133" s="3" t="s">
        <v>109</v>
      </c>
      <c r="H133" s="3" t="s">
        <v>109</v>
      </c>
      <c r="I133" s="3" t="s">
        <v>111</v>
      </c>
      <c r="J133" s="3" t="s">
        <v>111</v>
      </c>
      <c r="K133" s="3" t="s">
        <v>111</v>
      </c>
      <c r="L133" s="3" t="s">
        <v>111</v>
      </c>
      <c r="M133" s="3" t="s">
        <v>111</v>
      </c>
      <c r="N133" s="3" t="s">
        <v>111</v>
      </c>
      <c r="O133" s="3" t="s">
        <v>109</v>
      </c>
      <c r="P133" s="3" t="s">
        <v>109</v>
      </c>
      <c r="Q133" s="3" t="s">
        <v>111</v>
      </c>
      <c r="R133" s="3" t="s">
        <v>111</v>
      </c>
      <c r="S133" s="3" t="s">
        <v>111</v>
      </c>
      <c r="T133" s="3" t="s">
        <v>111</v>
      </c>
      <c r="U133" s="3" t="s">
        <v>109</v>
      </c>
      <c r="V133" s="3" t="s">
        <v>111</v>
      </c>
      <c r="W133" s="3" t="s">
        <v>111</v>
      </c>
      <c r="X133" s="3" t="s">
        <v>109</v>
      </c>
      <c r="Y133" s="3" t="s">
        <v>111</v>
      </c>
      <c r="Z133" s="3" t="s">
        <v>111</v>
      </c>
      <c r="AA133" s="3" t="s">
        <v>109</v>
      </c>
      <c r="AB133" s="3" t="s">
        <v>109</v>
      </c>
      <c r="AC133" s="3" t="s">
        <v>111</v>
      </c>
      <c r="AD133" s="3" t="s">
        <v>111</v>
      </c>
      <c r="AE133" s="3" t="s">
        <v>111</v>
      </c>
      <c r="AF133" s="3" t="s">
        <v>111</v>
      </c>
      <c r="AG133" s="3" t="s">
        <v>109</v>
      </c>
      <c r="AH133" s="3" t="s">
        <v>111</v>
      </c>
      <c r="AI133" s="3" t="s">
        <v>111</v>
      </c>
      <c r="AJ133" s="3" t="s">
        <v>109</v>
      </c>
      <c r="AK133" s="3">
        <v>80</v>
      </c>
      <c r="AL133" s="3">
        <v>20</v>
      </c>
      <c r="AM133" s="3">
        <v>80</v>
      </c>
      <c r="AN133" s="3" t="s">
        <v>109</v>
      </c>
      <c r="AO133" s="3">
        <v>10</v>
      </c>
      <c r="AP133" s="3">
        <v>80</v>
      </c>
      <c r="AQ133" s="3">
        <v>80</v>
      </c>
      <c r="AT133" s="3">
        <v>20</v>
      </c>
      <c r="AU133" s="3">
        <v>10</v>
      </c>
      <c r="AX133" s="3">
        <v>90</v>
      </c>
      <c r="BA133" s="3">
        <v>80</v>
      </c>
      <c r="BB133" s="3">
        <v>80</v>
      </c>
      <c r="BC133" s="3">
        <v>80</v>
      </c>
      <c r="BU133" s="3">
        <v>5</v>
      </c>
      <c r="BW133" s="3">
        <v>10</v>
      </c>
      <c r="BX133" s="3">
        <v>7</v>
      </c>
      <c r="BY133" s="3">
        <v>10</v>
      </c>
      <c r="BZ133" s="3">
        <v>10</v>
      </c>
      <c r="CA133" s="3">
        <v>1</v>
      </c>
      <c r="CD133" s="3" t="s">
        <v>111</v>
      </c>
      <c r="CN133" s="3" t="s">
        <v>113</v>
      </c>
      <c r="CO133" s="3">
        <v>500</v>
      </c>
      <c r="CP133" s="3">
        <v>370</v>
      </c>
      <c r="CQ133" s="3">
        <v>2016</v>
      </c>
      <c r="CR133" s="3">
        <v>2016</v>
      </c>
      <c r="CS133" s="3">
        <v>60</v>
      </c>
      <c r="CT133" s="3">
        <v>40</v>
      </c>
      <c r="CU133" s="3">
        <v>30</v>
      </c>
      <c r="CV133" s="3">
        <v>70</v>
      </c>
      <c r="CW133" s="3">
        <v>10</v>
      </c>
      <c r="CX133" s="3">
        <v>0</v>
      </c>
      <c r="CY133" s="3">
        <v>0</v>
      </c>
      <c r="CZ133" s="3">
        <v>0</v>
      </c>
      <c r="DA133" s="3">
        <v>20</v>
      </c>
      <c r="DB133" s="3">
        <v>0</v>
      </c>
      <c r="DC133" s="3">
        <v>0</v>
      </c>
      <c r="DD133" s="3">
        <v>70</v>
      </c>
      <c r="DE133" s="3">
        <v>0</v>
      </c>
      <c r="DG133" s="3">
        <v>10</v>
      </c>
      <c r="DH133" s="3">
        <v>5</v>
      </c>
      <c r="DI133" s="3">
        <v>0</v>
      </c>
      <c r="DJ133" s="3">
        <v>50</v>
      </c>
      <c r="DK133" s="3">
        <v>30</v>
      </c>
      <c r="DL133" s="3">
        <v>5</v>
      </c>
      <c r="DM133" s="3">
        <v>0</v>
      </c>
      <c r="DN133" s="3">
        <v>0</v>
      </c>
      <c r="DO133" s="3">
        <v>0</v>
      </c>
      <c r="DQ133" s="3">
        <v>0.8</v>
      </c>
      <c r="DR133" s="3">
        <v>1</v>
      </c>
      <c r="DS133" s="3">
        <v>2016</v>
      </c>
      <c r="DT133" s="3">
        <v>2016</v>
      </c>
      <c r="DU133" s="3" t="s">
        <v>109</v>
      </c>
      <c r="DV133" s="3" t="s">
        <v>111</v>
      </c>
      <c r="DW133" s="3" t="s">
        <v>111</v>
      </c>
      <c r="DX133" s="3" t="s">
        <v>111</v>
      </c>
      <c r="DY133" s="3" t="s">
        <v>111</v>
      </c>
      <c r="DZ133" s="3" t="s">
        <v>111</v>
      </c>
      <c r="EA133" s="3" t="s">
        <v>111</v>
      </c>
      <c r="EB133" s="3" t="s">
        <v>111</v>
      </c>
      <c r="EC133" s="3" t="s">
        <v>111</v>
      </c>
    </row>
    <row r="134" spans="1:133" s="3" customFormat="1" x14ac:dyDescent="0.2">
      <c r="A134" s="3" t="s">
        <v>218</v>
      </c>
      <c r="B134" s="3" t="s">
        <v>215</v>
      </c>
      <c r="C134" s="3" t="s">
        <v>166</v>
      </c>
      <c r="D134" s="3" t="s">
        <v>109</v>
      </c>
      <c r="E134" s="3" t="s">
        <v>120</v>
      </c>
      <c r="F134" s="3">
        <v>6</v>
      </c>
      <c r="G134" s="3" t="s">
        <v>109</v>
      </c>
      <c r="H134" s="3" t="s">
        <v>109</v>
      </c>
      <c r="I134" s="3" t="s">
        <v>111</v>
      </c>
      <c r="J134" s="3" t="s">
        <v>109</v>
      </c>
      <c r="K134" s="3" t="s">
        <v>111</v>
      </c>
      <c r="L134" s="3" t="s">
        <v>109</v>
      </c>
      <c r="M134" s="3" t="s">
        <v>109</v>
      </c>
      <c r="N134" s="3" t="s">
        <v>109</v>
      </c>
      <c r="O134" s="3" t="s">
        <v>111</v>
      </c>
      <c r="P134" s="3" t="s">
        <v>109</v>
      </c>
      <c r="Q134" s="3" t="s">
        <v>109</v>
      </c>
      <c r="R134" s="3" t="s">
        <v>111</v>
      </c>
      <c r="V134" s="3" t="s">
        <v>109</v>
      </c>
      <c r="W134" s="3" t="s">
        <v>111</v>
      </c>
      <c r="X134" s="3" t="s">
        <v>111</v>
      </c>
      <c r="AB134" s="3" t="s">
        <v>111</v>
      </c>
      <c r="AC134" s="3" t="s">
        <v>111</v>
      </c>
      <c r="AD134" s="3" t="s">
        <v>109</v>
      </c>
      <c r="AE134" s="3" t="s">
        <v>109</v>
      </c>
      <c r="AF134" s="3" t="s">
        <v>109</v>
      </c>
      <c r="AG134" s="3" t="s">
        <v>111</v>
      </c>
      <c r="AH134" s="3" t="s">
        <v>111</v>
      </c>
      <c r="AI134" s="3" t="s">
        <v>111</v>
      </c>
      <c r="AJ134" s="3" t="s">
        <v>109</v>
      </c>
      <c r="AK134" s="3">
        <v>70</v>
      </c>
      <c r="AL134" s="3">
        <v>20</v>
      </c>
      <c r="AM134" s="3">
        <v>80</v>
      </c>
      <c r="AN134" s="3" t="s">
        <v>109</v>
      </c>
      <c r="AO134" s="3">
        <v>70</v>
      </c>
      <c r="AP134" s="3">
        <v>2</v>
      </c>
      <c r="BU134" s="3">
        <v>8</v>
      </c>
      <c r="BV134" s="3">
        <v>7</v>
      </c>
      <c r="BW134" s="3">
        <v>8</v>
      </c>
      <c r="BX134" s="3">
        <v>1</v>
      </c>
      <c r="BY134" s="3">
        <v>8</v>
      </c>
      <c r="CD134" s="3" t="s">
        <v>111</v>
      </c>
      <c r="CN134" s="3" t="s">
        <v>121</v>
      </c>
      <c r="DQ134" s="3">
        <v>1</v>
      </c>
      <c r="DR134" s="3">
        <v>2</v>
      </c>
      <c r="DS134" s="3">
        <v>2016</v>
      </c>
      <c r="DT134" s="3">
        <v>2016</v>
      </c>
      <c r="DU134" s="3" t="s">
        <v>109</v>
      </c>
      <c r="DV134" s="3" t="s">
        <v>111</v>
      </c>
      <c r="DW134" s="3" t="s">
        <v>111</v>
      </c>
      <c r="DX134" s="3" t="s">
        <v>111</v>
      </c>
      <c r="DY134" s="3" t="s">
        <v>111</v>
      </c>
      <c r="DZ134" s="3" t="s">
        <v>111</v>
      </c>
      <c r="EA134" s="3" t="s">
        <v>111</v>
      </c>
      <c r="EB134" s="3" t="s">
        <v>111</v>
      </c>
      <c r="EC134" s="3" t="s">
        <v>111</v>
      </c>
    </row>
    <row r="135" spans="1:133" s="3" customFormat="1" x14ac:dyDescent="0.2">
      <c r="A135" s="84" t="s">
        <v>226</v>
      </c>
      <c r="B135" s="3" t="s">
        <v>238</v>
      </c>
      <c r="C135" s="3" t="s">
        <v>166</v>
      </c>
      <c r="D135" s="3" t="s">
        <v>109</v>
      </c>
      <c r="E135" s="3" t="s">
        <v>116</v>
      </c>
      <c r="F135" s="3">
        <v>38</v>
      </c>
      <c r="G135" s="3" t="s">
        <v>111</v>
      </c>
      <c r="L135" s="3" t="s">
        <v>111</v>
      </c>
      <c r="M135" s="3" t="s">
        <v>109</v>
      </c>
      <c r="N135" s="3" t="s">
        <v>109</v>
      </c>
      <c r="O135" s="3" t="s">
        <v>111</v>
      </c>
      <c r="P135" s="3" t="s">
        <v>109</v>
      </c>
      <c r="Q135" s="3" t="s">
        <v>109</v>
      </c>
      <c r="R135" s="3" t="s">
        <v>111</v>
      </c>
      <c r="S135" s="3" t="s">
        <v>109</v>
      </c>
      <c r="T135" s="3" t="s">
        <v>111</v>
      </c>
      <c r="U135" s="3" t="s">
        <v>111</v>
      </c>
      <c r="V135" s="3" t="s">
        <v>109</v>
      </c>
      <c r="W135" s="3" t="s">
        <v>111</v>
      </c>
      <c r="X135" s="3" t="s">
        <v>111</v>
      </c>
      <c r="Y135" s="3" t="s">
        <v>109</v>
      </c>
      <c r="Z135" s="3" t="s">
        <v>111</v>
      </c>
      <c r="AA135" s="3" t="s">
        <v>111</v>
      </c>
      <c r="AB135" s="3" t="s">
        <v>111</v>
      </c>
      <c r="AC135" s="3" t="s">
        <v>111</v>
      </c>
      <c r="AD135" s="3" t="s">
        <v>109</v>
      </c>
      <c r="AE135" s="3" t="s">
        <v>109</v>
      </c>
      <c r="AF135" s="3" t="s">
        <v>111</v>
      </c>
      <c r="AG135" s="3" t="s">
        <v>111</v>
      </c>
      <c r="AH135" s="3" t="s">
        <v>111</v>
      </c>
      <c r="AI135" s="3" t="s">
        <v>111</v>
      </c>
      <c r="AJ135" s="3" t="s">
        <v>109</v>
      </c>
      <c r="AK135" s="3">
        <v>99</v>
      </c>
      <c r="AL135" s="3">
        <v>5</v>
      </c>
      <c r="AM135" s="3">
        <v>10</v>
      </c>
      <c r="AN135" s="3" t="s">
        <v>109</v>
      </c>
      <c r="AO135" s="3">
        <v>50</v>
      </c>
      <c r="AP135" s="3">
        <v>50</v>
      </c>
      <c r="AQ135" s="3">
        <v>50</v>
      </c>
      <c r="AR135" s="3">
        <v>0</v>
      </c>
      <c r="AS135" s="3">
        <v>40</v>
      </c>
      <c r="AT135" s="3">
        <v>10</v>
      </c>
      <c r="AU135" s="3">
        <v>40</v>
      </c>
      <c r="AV135" s="3">
        <v>30</v>
      </c>
      <c r="AW135" s="3">
        <v>20</v>
      </c>
      <c r="AX135" s="3">
        <v>10</v>
      </c>
      <c r="AY135" s="3">
        <v>20</v>
      </c>
      <c r="AZ135" s="3">
        <v>30</v>
      </c>
      <c r="BA135" s="3">
        <v>50</v>
      </c>
      <c r="BB135" s="3">
        <v>99</v>
      </c>
      <c r="BC135" s="3">
        <v>99</v>
      </c>
      <c r="BD135" s="3">
        <v>90</v>
      </c>
      <c r="BE135" s="3">
        <v>90</v>
      </c>
      <c r="BF135" s="3">
        <v>90</v>
      </c>
      <c r="BG135" s="3">
        <v>90</v>
      </c>
      <c r="BH135" s="3">
        <v>1</v>
      </c>
      <c r="BI135" s="3">
        <v>10</v>
      </c>
      <c r="BJ135" s="3">
        <v>1</v>
      </c>
      <c r="BK135" s="3">
        <v>5</v>
      </c>
      <c r="BP135" s="3">
        <v>1</v>
      </c>
      <c r="BQ135" s="3">
        <v>1</v>
      </c>
      <c r="BR135" s="3">
        <v>1</v>
      </c>
      <c r="BS135" s="3">
        <v>1</v>
      </c>
      <c r="BU135" s="3">
        <v>8</v>
      </c>
      <c r="BV135" s="3">
        <v>3</v>
      </c>
      <c r="BW135" s="3">
        <v>8</v>
      </c>
      <c r="BX135" s="3">
        <v>3</v>
      </c>
      <c r="BY135" s="3">
        <v>8</v>
      </c>
      <c r="BZ135" s="3">
        <v>8</v>
      </c>
      <c r="CA135" s="3">
        <v>3</v>
      </c>
      <c r="CD135" s="3" t="s">
        <v>119</v>
      </c>
      <c r="CN135" s="3" t="s">
        <v>117</v>
      </c>
      <c r="CO135" s="3">
        <v>300000</v>
      </c>
      <c r="CP135" s="3">
        <v>200000</v>
      </c>
      <c r="CQ135" s="3">
        <v>2016</v>
      </c>
      <c r="CR135" s="3">
        <v>2016</v>
      </c>
      <c r="CS135" s="3">
        <v>20</v>
      </c>
      <c r="CT135" s="3">
        <v>80</v>
      </c>
      <c r="CU135" s="3">
        <v>60</v>
      </c>
      <c r="CV135" s="3">
        <v>40</v>
      </c>
      <c r="CW135" s="3">
        <v>10</v>
      </c>
      <c r="CX135" s="3">
        <v>30</v>
      </c>
      <c r="CY135" s="3">
        <v>0</v>
      </c>
      <c r="CZ135" s="3">
        <v>10</v>
      </c>
      <c r="DA135" s="3">
        <v>30</v>
      </c>
      <c r="DB135" s="3">
        <v>5</v>
      </c>
      <c r="DC135" s="3">
        <v>10</v>
      </c>
      <c r="DD135" s="3">
        <v>5</v>
      </c>
      <c r="DE135" s="3">
        <v>0</v>
      </c>
      <c r="DG135" s="3">
        <v>40</v>
      </c>
      <c r="DH135" s="3">
        <v>10</v>
      </c>
      <c r="DI135" s="3">
        <v>0</v>
      </c>
      <c r="DJ135" s="3">
        <v>20</v>
      </c>
      <c r="DK135" s="3">
        <v>10</v>
      </c>
      <c r="DL135" s="3">
        <v>0</v>
      </c>
      <c r="DM135" s="3">
        <v>0</v>
      </c>
      <c r="DN135" s="3">
        <v>20</v>
      </c>
      <c r="DO135" s="3">
        <v>0</v>
      </c>
      <c r="DQ135" s="3">
        <v>3</v>
      </c>
      <c r="DR135" s="3">
        <v>1</v>
      </c>
      <c r="DS135" s="3">
        <v>2016</v>
      </c>
      <c r="DT135" s="3">
        <v>2016</v>
      </c>
      <c r="DU135" s="3" t="s">
        <v>109</v>
      </c>
      <c r="DV135" s="3" t="s">
        <v>111</v>
      </c>
      <c r="DW135" s="3" t="s">
        <v>109</v>
      </c>
      <c r="DX135" s="3" t="s">
        <v>111</v>
      </c>
      <c r="DY135" s="3" t="s">
        <v>111</v>
      </c>
      <c r="DZ135" s="3" t="s">
        <v>111</v>
      </c>
      <c r="EA135" s="3" t="s">
        <v>111</v>
      </c>
      <c r="EB135" s="3" t="s">
        <v>111</v>
      </c>
    </row>
    <row r="136" spans="1:133" s="3" customFormat="1" x14ac:dyDescent="0.2">
      <c r="A136" s="84" t="s">
        <v>232</v>
      </c>
      <c r="B136" s="3" t="s">
        <v>237</v>
      </c>
      <c r="C136" s="3" t="s">
        <v>166</v>
      </c>
      <c r="D136" s="3" t="s">
        <v>109</v>
      </c>
    </row>
    <row r="137" spans="1:133" s="3" customFormat="1" x14ac:dyDescent="0.2">
      <c r="A137" s="3" t="s">
        <v>216</v>
      </c>
      <c r="B137" s="3" t="s">
        <v>238</v>
      </c>
      <c r="C137" s="3" t="s">
        <v>166</v>
      </c>
      <c r="D137" s="3" t="s">
        <v>109</v>
      </c>
      <c r="E137" s="3" t="s">
        <v>114</v>
      </c>
      <c r="F137" s="3">
        <v>106.8</v>
      </c>
      <c r="G137" s="3" t="s">
        <v>111</v>
      </c>
      <c r="L137" s="3" t="s">
        <v>109</v>
      </c>
      <c r="M137" s="3" t="s">
        <v>109</v>
      </c>
      <c r="N137" s="3" t="s">
        <v>111</v>
      </c>
      <c r="O137" s="3" t="s">
        <v>111</v>
      </c>
      <c r="P137" s="3" t="s">
        <v>109</v>
      </c>
      <c r="Q137" s="3" t="s">
        <v>109</v>
      </c>
      <c r="R137" s="3" t="s">
        <v>111</v>
      </c>
      <c r="S137" s="3" t="s">
        <v>111</v>
      </c>
      <c r="T137" s="3" t="s">
        <v>111</v>
      </c>
      <c r="U137" s="3" t="s">
        <v>109</v>
      </c>
      <c r="V137" s="3" t="s">
        <v>109</v>
      </c>
      <c r="W137" s="3" t="s">
        <v>109</v>
      </c>
      <c r="X137" s="3" t="s">
        <v>111</v>
      </c>
      <c r="Y137" s="3" t="s">
        <v>111</v>
      </c>
      <c r="Z137" s="3" t="s">
        <v>111</v>
      </c>
      <c r="AA137" s="3" t="s">
        <v>109</v>
      </c>
      <c r="AB137" s="3" t="s">
        <v>111</v>
      </c>
      <c r="AC137" s="3" t="s">
        <v>111</v>
      </c>
      <c r="AD137" s="3" t="s">
        <v>109</v>
      </c>
      <c r="AE137" s="3" t="s">
        <v>111</v>
      </c>
      <c r="AF137" s="3" t="s">
        <v>111</v>
      </c>
      <c r="AG137" s="3" t="s">
        <v>109</v>
      </c>
      <c r="AH137" s="3" t="s">
        <v>111</v>
      </c>
      <c r="AI137" s="3" t="s">
        <v>109</v>
      </c>
      <c r="AJ137" s="3" t="s">
        <v>111</v>
      </c>
      <c r="AK137" s="3">
        <v>90</v>
      </c>
      <c r="AL137" s="3">
        <v>90</v>
      </c>
      <c r="AM137" s="3">
        <v>10</v>
      </c>
      <c r="AN137" s="3" t="s">
        <v>109</v>
      </c>
      <c r="AO137" s="3">
        <v>8</v>
      </c>
      <c r="AP137" s="3">
        <v>8</v>
      </c>
      <c r="AT137" s="3">
        <v>100</v>
      </c>
      <c r="AX137" s="3">
        <v>100</v>
      </c>
      <c r="AY137" s="3">
        <v>100</v>
      </c>
      <c r="AZ137" s="3">
        <v>100</v>
      </c>
      <c r="BA137" s="3">
        <v>85</v>
      </c>
      <c r="BB137" s="3">
        <v>1</v>
      </c>
      <c r="BC137" s="3">
        <v>5</v>
      </c>
      <c r="BF137" s="3">
        <v>7</v>
      </c>
      <c r="BG137" s="3">
        <v>7</v>
      </c>
      <c r="BH137" s="3">
        <v>1</v>
      </c>
      <c r="BI137" s="3">
        <v>1</v>
      </c>
      <c r="BU137" s="3">
        <v>7</v>
      </c>
      <c r="BV137" s="3">
        <v>6</v>
      </c>
      <c r="BW137" s="3">
        <v>7</v>
      </c>
      <c r="BX137" s="3">
        <v>1</v>
      </c>
      <c r="BY137" s="3">
        <v>8</v>
      </c>
      <c r="BZ137" s="3">
        <v>7</v>
      </c>
      <c r="CA137" s="3">
        <v>3</v>
      </c>
      <c r="CD137" s="3" t="s">
        <v>109</v>
      </c>
      <c r="CE137" s="3" t="s">
        <v>109</v>
      </c>
      <c r="CF137" s="3" t="s">
        <v>111</v>
      </c>
      <c r="CG137" s="3" t="s">
        <v>111</v>
      </c>
      <c r="CH137" s="3" t="s">
        <v>111</v>
      </c>
      <c r="CI137" s="3" t="s">
        <v>111</v>
      </c>
      <c r="CJ137" s="3" t="s">
        <v>111</v>
      </c>
      <c r="CK137" s="3" t="s">
        <v>111</v>
      </c>
      <c r="CL137" s="3" t="s">
        <v>111</v>
      </c>
      <c r="CN137" s="3" t="s">
        <v>117</v>
      </c>
      <c r="CO137" s="3">
        <v>85000</v>
      </c>
      <c r="CQ137" s="3">
        <v>2016</v>
      </c>
      <c r="CS137" s="3">
        <v>47</v>
      </c>
      <c r="CT137" s="3">
        <v>53</v>
      </c>
      <c r="CU137" s="3">
        <v>80</v>
      </c>
      <c r="CV137" s="3">
        <v>20</v>
      </c>
      <c r="CW137" s="3">
        <v>15</v>
      </c>
      <c r="CX137" s="3">
        <v>5</v>
      </c>
      <c r="CY137" s="3">
        <v>30</v>
      </c>
      <c r="CZ137" s="3">
        <v>0</v>
      </c>
      <c r="DA137" s="3">
        <v>10</v>
      </c>
      <c r="DB137" s="3">
        <v>0</v>
      </c>
      <c r="DC137" s="3">
        <v>30</v>
      </c>
      <c r="DD137" s="3">
        <v>10</v>
      </c>
      <c r="DE137" s="3">
        <v>0</v>
      </c>
      <c r="DG137" s="3">
        <v>20</v>
      </c>
      <c r="DH137" s="3">
        <v>10</v>
      </c>
      <c r="DI137" s="3">
        <v>15</v>
      </c>
      <c r="DJ137" s="3">
        <v>10</v>
      </c>
      <c r="DK137" s="3">
        <v>10</v>
      </c>
      <c r="DL137" s="3">
        <v>5</v>
      </c>
      <c r="DM137" s="3">
        <v>5</v>
      </c>
      <c r="DN137" s="3">
        <v>25</v>
      </c>
      <c r="DO137" s="3">
        <v>0</v>
      </c>
      <c r="DQ137" s="3">
        <v>6</v>
      </c>
      <c r="DR137" s="3">
        <v>0</v>
      </c>
      <c r="DS137" s="3">
        <v>2016</v>
      </c>
      <c r="DU137" s="3" t="s">
        <v>109</v>
      </c>
      <c r="DV137" s="3" t="s">
        <v>111</v>
      </c>
      <c r="DW137" s="3" t="s">
        <v>109</v>
      </c>
      <c r="DX137" s="3" t="s">
        <v>109</v>
      </c>
      <c r="DY137" s="3" t="s">
        <v>109</v>
      </c>
      <c r="DZ137" s="3" t="s">
        <v>109</v>
      </c>
      <c r="EA137" s="3" t="s">
        <v>111</v>
      </c>
      <c r="EB137" s="3" t="s">
        <v>111</v>
      </c>
      <c r="EC137" s="3" t="s">
        <v>111</v>
      </c>
    </row>
    <row r="138" spans="1:133" s="3" customFormat="1" x14ac:dyDescent="0.2">
      <c r="A138" s="3" t="s">
        <v>211</v>
      </c>
      <c r="B138" s="3" t="s">
        <v>236</v>
      </c>
      <c r="C138" s="3" t="s">
        <v>166</v>
      </c>
      <c r="D138" s="3" t="s">
        <v>109</v>
      </c>
      <c r="E138" s="3" t="s">
        <v>118</v>
      </c>
      <c r="F138" s="3">
        <v>9</v>
      </c>
      <c r="G138" s="3" t="s">
        <v>109</v>
      </c>
      <c r="H138" s="3" t="s">
        <v>111</v>
      </c>
      <c r="I138" s="3" t="s">
        <v>111</v>
      </c>
      <c r="J138" s="3" t="s">
        <v>111</v>
      </c>
      <c r="K138" s="3" t="s">
        <v>111</v>
      </c>
    </row>
    <row r="139" spans="1:133" s="3" customFormat="1" x14ac:dyDescent="0.2">
      <c r="A139" s="3" t="s">
        <v>229</v>
      </c>
      <c r="B139" s="3" t="s">
        <v>215</v>
      </c>
      <c r="C139" s="3" t="s">
        <v>166</v>
      </c>
      <c r="D139" s="3" t="s">
        <v>109</v>
      </c>
      <c r="E139" s="3" t="s">
        <v>116</v>
      </c>
      <c r="F139" s="3">
        <v>30</v>
      </c>
      <c r="G139" s="3" t="s">
        <v>111</v>
      </c>
      <c r="L139" s="3" t="s">
        <v>109</v>
      </c>
      <c r="M139" s="3" t="s">
        <v>109</v>
      </c>
      <c r="N139" s="3" t="s">
        <v>109</v>
      </c>
      <c r="O139" s="3" t="s">
        <v>111</v>
      </c>
      <c r="P139" s="3" t="s">
        <v>109</v>
      </c>
      <c r="Q139" s="3" t="s">
        <v>109</v>
      </c>
      <c r="R139" s="3" t="s">
        <v>111</v>
      </c>
      <c r="S139" s="3" t="s">
        <v>109</v>
      </c>
      <c r="T139" s="3" t="s">
        <v>109</v>
      </c>
      <c r="U139" s="3" t="s">
        <v>111</v>
      </c>
      <c r="V139" s="3" t="s">
        <v>109</v>
      </c>
      <c r="W139" s="3" t="s">
        <v>111</v>
      </c>
      <c r="X139" s="3" t="s">
        <v>111</v>
      </c>
      <c r="Y139" s="3" t="s">
        <v>111</v>
      </c>
      <c r="Z139" s="3" t="s">
        <v>111</v>
      </c>
      <c r="AA139" s="3" t="s">
        <v>109</v>
      </c>
      <c r="AB139" s="3" t="s">
        <v>109</v>
      </c>
      <c r="AC139" s="3" t="s">
        <v>111</v>
      </c>
      <c r="AD139" s="3" t="s">
        <v>111</v>
      </c>
      <c r="AE139" s="3" t="s">
        <v>109</v>
      </c>
      <c r="AF139" s="3" t="s">
        <v>109</v>
      </c>
      <c r="AG139" s="3" t="s">
        <v>111</v>
      </c>
      <c r="AH139" s="3" t="s">
        <v>111</v>
      </c>
      <c r="AI139" s="3" t="s">
        <v>111</v>
      </c>
      <c r="AJ139" s="3" t="s">
        <v>109</v>
      </c>
      <c r="AK139" s="3">
        <v>65</v>
      </c>
      <c r="AL139" s="3">
        <v>40</v>
      </c>
      <c r="AM139" s="3">
        <v>60</v>
      </c>
      <c r="AN139" s="3" t="s">
        <v>109</v>
      </c>
      <c r="AO139" s="3">
        <v>60</v>
      </c>
      <c r="AP139" s="3">
        <v>40</v>
      </c>
      <c r="AQ139" s="3">
        <v>10</v>
      </c>
      <c r="AR139" s="3">
        <v>20</v>
      </c>
      <c r="AS139" s="3">
        <v>20</v>
      </c>
      <c r="AT139" s="3">
        <v>50</v>
      </c>
      <c r="AU139" s="3">
        <v>0</v>
      </c>
      <c r="AV139" s="3">
        <v>100</v>
      </c>
      <c r="AW139" s="3">
        <v>0</v>
      </c>
      <c r="AX139" s="3">
        <v>0</v>
      </c>
      <c r="AY139" s="3">
        <v>100</v>
      </c>
      <c r="AZ139" s="3">
        <v>60</v>
      </c>
      <c r="BA139" s="3">
        <v>40</v>
      </c>
      <c r="BB139" s="3">
        <v>60</v>
      </c>
      <c r="BC139" s="3">
        <v>65</v>
      </c>
      <c r="BF139" s="3">
        <v>10</v>
      </c>
      <c r="BG139" s="3">
        <v>12</v>
      </c>
      <c r="BU139" s="3">
        <v>10</v>
      </c>
      <c r="BV139" s="3">
        <v>4</v>
      </c>
      <c r="BW139" s="3">
        <v>7</v>
      </c>
      <c r="BX139" s="3">
        <v>4</v>
      </c>
      <c r="BY139" s="3">
        <v>10</v>
      </c>
      <c r="BZ139" s="3">
        <v>10</v>
      </c>
      <c r="CA139" s="3">
        <v>1</v>
      </c>
      <c r="CB139" s="3">
        <v>1</v>
      </c>
      <c r="CD139" s="3" t="s">
        <v>109</v>
      </c>
      <c r="CE139" s="3" t="s">
        <v>109</v>
      </c>
      <c r="CF139" s="3" t="s">
        <v>111</v>
      </c>
      <c r="CG139" s="3" t="s">
        <v>111</v>
      </c>
      <c r="CH139" s="3" t="s">
        <v>111</v>
      </c>
      <c r="CI139" s="3" t="s">
        <v>111</v>
      </c>
      <c r="CJ139" s="3" t="s">
        <v>111</v>
      </c>
      <c r="CK139" s="3" t="s">
        <v>111</v>
      </c>
      <c r="CL139" s="3" t="s">
        <v>111</v>
      </c>
      <c r="CM139" s="3">
        <v>8000</v>
      </c>
      <c r="CN139" s="3" t="s">
        <v>121</v>
      </c>
      <c r="CO139" s="3">
        <v>600000</v>
      </c>
      <c r="CQ139" s="3">
        <v>2016</v>
      </c>
      <c r="CR139" s="3" t="s">
        <v>123</v>
      </c>
      <c r="CS139" s="3">
        <v>20</v>
      </c>
      <c r="CT139" s="3">
        <v>80</v>
      </c>
      <c r="CU139" s="3">
        <v>30</v>
      </c>
      <c r="CV139" s="3">
        <v>70</v>
      </c>
      <c r="CW139" s="3">
        <v>0</v>
      </c>
      <c r="CX139" s="3">
        <v>0</v>
      </c>
      <c r="CY139" s="3">
        <v>0</v>
      </c>
      <c r="CZ139" s="3">
        <v>10</v>
      </c>
      <c r="DA139" s="3">
        <v>80</v>
      </c>
      <c r="DB139" s="3">
        <v>4</v>
      </c>
      <c r="DC139" s="3">
        <v>6</v>
      </c>
      <c r="DD139" s="3">
        <v>0</v>
      </c>
      <c r="DE139" s="3">
        <v>0</v>
      </c>
      <c r="DG139" s="3">
        <v>20</v>
      </c>
      <c r="DH139" s="3">
        <v>20</v>
      </c>
      <c r="DI139" s="3">
        <v>0</v>
      </c>
      <c r="DJ139" s="3">
        <v>2</v>
      </c>
      <c r="DK139" s="3">
        <v>10</v>
      </c>
      <c r="DL139" s="3">
        <v>3</v>
      </c>
      <c r="DM139" s="3">
        <v>5</v>
      </c>
      <c r="DN139" s="3">
        <v>40</v>
      </c>
      <c r="DO139" s="3">
        <v>0</v>
      </c>
      <c r="DQ139" s="3">
        <v>0.88</v>
      </c>
      <c r="DR139" s="3">
        <v>2</v>
      </c>
      <c r="DS139" s="3">
        <v>2016</v>
      </c>
      <c r="DT139" s="3">
        <v>2016</v>
      </c>
      <c r="DU139" s="3" t="s">
        <v>109</v>
      </c>
      <c r="DV139" s="3" t="s">
        <v>111</v>
      </c>
      <c r="DW139" s="3" t="s">
        <v>111</v>
      </c>
      <c r="DX139" s="3" t="s">
        <v>111</v>
      </c>
      <c r="DY139" s="3" t="s">
        <v>111</v>
      </c>
      <c r="DZ139" s="3" t="s">
        <v>111</v>
      </c>
      <c r="EA139" s="3" t="s">
        <v>111</v>
      </c>
      <c r="EB139" s="3" t="s">
        <v>111</v>
      </c>
    </row>
    <row r="140" spans="1:133" s="3" customFormat="1" x14ac:dyDescent="0.2">
      <c r="A140" s="3" t="s">
        <v>213</v>
      </c>
      <c r="B140" s="3" t="s">
        <v>215</v>
      </c>
      <c r="C140" s="3" t="s">
        <v>166</v>
      </c>
      <c r="D140" s="3" t="s">
        <v>109</v>
      </c>
      <c r="E140" s="3" t="s">
        <v>114</v>
      </c>
      <c r="F140" s="3">
        <v>130</v>
      </c>
      <c r="G140" s="3" t="s">
        <v>109</v>
      </c>
      <c r="H140" s="3" t="s">
        <v>109</v>
      </c>
      <c r="I140" s="3" t="s">
        <v>109</v>
      </c>
      <c r="J140" s="3" t="s">
        <v>109</v>
      </c>
      <c r="K140" s="3" t="s">
        <v>109</v>
      </c>
      <c r="L140" s="3" t="s">
        <v>109</v>
      </c>
      <c r="M140" s="3" t="s">
        <v>109</v>
      </c>
      <c r="N140" s="3" t="s">
        <v>109</v>
      </c>
      <c r="O140" s="3" t="s">
        <v>111</v>
      </c>
      <c r="P140" s="3" t="s">
        <v>109</v>
      </c>
      <c r="Q140" s="3" t="s">
        <v>109</v>
      </c>
      <c r="R140" s="3" t="s">
        <v>111</v>
      </c>
      <c r="S140" s="3" t="s">
        <v>109</v>
      </c>
      <c r="T140" s="3" t="s">
        <v>109</v>
      </c>
      <c r="U140" s="3" t="s">
        <v>111</v>
      </c>
      <c r="V140" s="3" t="s">
        <v>109</v>
      </c>
      <c r="W140" s="3" t="s">
        <v>109</v>
      </c>
      <c r="X140" s="3" t="s">
        <v>111</v>
      </c>
      <c r="Y140" s="3" t="s">
        <v>111</v>
      </c>
      <c r="Z140" s="3" t="s">
        <v>111</v>
      </c>
      <c r="AA140" s="3" t="s">
        <v>109</v>
      </c>
      <c r="AB140" s="3" t="s">
        <v>111</v>
      </c>
      <c r="AC140" s="3" t="s">
        <v>111</v>
      </c>
      <c r="AD140" s="3" t="s">
        <v>109</v>
      </c>
      <c r="AE140" s="3" t="s">
        <v>109</v>
      </c>
      <c r="AF140" s="3" t="s">
        <v>109</v>
      </c>
      <c r="AG140" s="3" t="s">
        <v>111</v>
      </c>
      <c r="AH140" s="3" t="s">
        <v>111</v>
      </c>
      <c r="AI140" s="3" t="s">
        <v>109</v>
      </c>
      <c r="AJ140" s="3" t="s">
        <v>111</v>
      </c>
      <c r="AK140" s="3">
        <v>95</v>
      </c>
      <c r="AL140" s="3">
        <v>26</v>
      </c>
      <c r="AM140" s="3">
        <v>64</v>
      </c>
      <c r="AN140" s="3" t="s">
        <v>109</v>
      </c>
      <c r="AO140" s="3">
        <v>98</v>
      </c>
      <c r="AP140" s="3">
        <v>7</v>
      </c>
      <c r="AQ140" s="3">
        <v>6</v>
      </c>
      <c r="AR140" s="3">
        <v>6</v>
      </c>
      <c r="AS140" s="3">
        <v>58</v>
      </c>
      <c r="AT140" s="3">
        <v>30</v>
      </c>
      <c r="AU140" s="3">
        <v>100</v>
      </c>
      <c r="AY140" s="3">
        <v>100</v>
      </c>
      <c r="AZ140" s="3">
        <v>100</v>
      </c>
      <c r="BA140" s="3">
        <v>7</v>
      </c>
      <c r="BB140" s="3">
        <v>3</v>
      </c>
      <c r="BC140" s="3">
        <v>5</v>
      </c>
      <c r="BF140" s="3">
        <v>3</v>
      </c>
      <c r="BG140" s="3">
        <v>4</v>
      </c>
      <c r="BU140" s="3">
        <v>9</v>
      </c>
      <c r="BV140" s="3">
        <v>7</v>
      </c>
      <c r="BW140" s="3">
        <v>5</v>
      </c>
      <c r="BY140" s="3">
        <v>9</v>
      </c>
      <c r="BZ140" s="3">
        <v>7</v>
      </c>
      <c r="CA140" s="3">
        <v>8</v>
      </c>
      <c r="CD140" s="3" t="s">
        <v>109</v>
      </c>
      <c r="CE140" s="3" t="s">
        <v>109</v>
      </c>
      <c r="CF140" s="3" t="s">
        <v>111</v>
      </c>
      <c r="CG140" s="3" t="s">
        <v>109</v>
      </c>
      <c r="CH140" s="3" t="s">
        <v>111</v>
      </c>
      <c r="CI140" s="3" t="s">
        <v>109</v>
      </c>
      <c r="CJ140" s="3" t="s">
        <v>109</v>
      </c>
      <c r="CK140" s="3" t="s">
        <v>111</v>
      </c>
      <c r="CL140" s="3" t="s">
        <v>111</v>
      </c>
      <c r="CM140" s="55">
        <v>1700000</v>
      </c>
      <c r="CN140" s="3" t="s">
        <v>115</v>
      </c>
      <c r="CO140" s="3">
        <v>1000000</v>
      </c>
      <c r="CP140" s="3">
        <v>13500</v>
      </c>
      <c r="CQ140" s="3">
        <v>2016</v>
      </c>
      <c r="CR140" s="3">
        <v>2016</v>
      </c>
      <c r="CS140" s="3">
        <v>58</v>
      </c>
      <c r="CT140" s="3">
        <v>42</v>
      </c>
      <c r="CU140" s="3">
        <v>80</v>
      </c>
      <c r="CV140" s="3">
        <v>20</v>
      </c>
      <c r="CW140" s="3">
        <v>5</v>
      </c>
      <c r="CX140" s="3">
        <v>20</v>
      </c>
      <c r="CY140" s="3">
        <v>23</v>
      </c>
      <c r="CZ140" s="3">
        <v>2</v>
      </c>
      <c r="DA140" s="3">
        <v>10</v>
      </c>
      <c r="DB140" s="3">
        <v>5</v>
      </c>
      <c r="DC140" s="3">
        <v>30</v>
      </c>
      <c r="DD140" s="3">
        <v>5</v>
      </c>
      <c r="DE140" s="3">
        <v>0</v>
      </c>
      <c r="DF140" s="3">
        <v>0</v>
      </c>
      <c r="DG140" s="3">
        <v>16</v>
      </c>
      <c r="DH140" s="3">
        <v>40</v>
      </c>
      <c r="DI140" s="3">
        <v>10</v>
      </c>
      <c r="DJ140" s="3">
        <v>5</v>
      </c>
      <c r="DK140" s="3">
        <v>5</v>
      </c>
      <c r="DL140" s="3">
        <v>10</v>
      </c>
      <c r="DM140" s="3">
        <v>4</v>
      </c>
      <c r="DN140" s="3">
        <v>10</v>
      </c>
      <c r="DO140" s="3">
        <v>0</v>
      </c>
      <c r="DP140" s="3">
        <v>0</v>
      </c>
      <c r="DQ140" s="3">
        <v>10</v>
      </c>
      <c r="DR140" s="3">
        <v>5</v>
      </c>
      <c r="DS140" s="3">
        <v>2016</v>
      </c>
      <c r="DT140" s="3">
        <v>2016</v>
      </c>
      <c r="DU140" s="3" t="s">
        <v>109</v>
      </c>
      <c r="DV140" s="3" t="s">
        <v>111</v>
      </c>
      <c r="DW140" s="3" t="s">
        <v>109</v>
      </c>
      <c r="DX140" s="3" t="s">
        <v>111</v>
      </c>
      <c r="DY140" s="3" t="s">
        <v>111</v>
      </c>
      <c r="DZ140" s="3" t="s">
        <v>111</v>
      </c>
      <c r="EA140" s="3" t="s">
        <v>109</v>
      </c>
      <c r="EB140" s="3" t="s">
        <v>111</v>
      </c>
      <c r="EC140" s="3" t="s">
        <v>111</v>
      </c>
    </row>
    <row r="141" spans="1:133" s="3" customFormat="1" x14ac:dyDescent="0.2">
      <c r="A141" s="84" t="s">
        <v>224</v>
      </c>
      <c r="B141" s="3" t="s">
        <v>238</v>
      </c>
      <c r="C141" s="3" t="s">
        <v>166</v>
      </c>
      <c r="D141" s="3" t="s">
        <v>109</v>
      </c>
      <c r="E141" s="3" t="s">
        <v>116</v>
      </c>
      <c r="F141" s="3">
        <v>20</v>
      </c>
      <c r="G141" s="3" t="s">
        <v>111</v>
      </c>
      <c r="L141" s="3" t="s">
        <v>109</v>
      </c>
      <c r="M141" s="3" t="s">
        <v>109</v>
      </c>
      <c r="N141" s="3" t="s">
        <v>111</v>
      </c>
      <c r="O141" s="3" t="s">
        <v>111</v>
      </c>
      <c r="P141" s="3" t="s">
        <v>109</v>
      </c>
      <c r="Q141" s="3" t="s">
        <v>111</v>
      </c>
      <c r="R141" s="3" t="s">
        <v>111</v>
      </c>
      <c r="V141" s="3" t="s">
        <v>109</v>
      </c>
      <c r="W141" s="3" t="s">
        <v>111</v>
      </c>
      <c r="X141" s="3" t="s">
        <v>111</v>
      </c>
      <c r="Y141" s="3" t="s">
        <v>109</v>
      </c>
      <c r="Z141" s="3" t="s">
        <v>111</v>
      </c>
      <c r="AA141" s="3" t="s">
        <v>111</v>
      </c>
      <c r="AH141" s="3" t="s">
        <v>109</v>
      </c>
      <c r="AI141" s="3" t="s">
        <v>109</v>
      </c>
      <c r="AJ141" s="3" t="s">
        <v>111</v>
      </c>
      <c r="AK141" s="3">
        <v>43</v>
      </c>
      <c r="AL141" s="3">
        <v>1</v>
      </c>
      <c r="AM141" s="3">
        <v>96</v>
      </c>
      <c r="AN141" s="3" t="s">
        <v>109</v>
      </c>
      <c r="AO141" s="3">
        <v>40</v>
      </c>
      <c r="AP141" s="3">
        <v>2</v>
      </c>
      <c r="AT141" s="3">
        <v>100</v>
      </c>
      <c r="AX141" s="3">
        <v>100</v>
      </c>
      <c r="AY141" s="3">
        <v>50</v>
      </c>
      <c r="BB141" s="3">
        <v>15</v>
      </c>
      <c r="BC141" s="3">
        <v>20</v>
      </c>
      <c r="BU141" s="3">
        <v>7</v>
      </c>
      <c r="BV141" s="3">
        <v>7</v>
      </c>
      <c r="BW141" s="3">
        <v>7</v>
      </c>
      <c r="BX141" s="3">
        <v>8</v>
      </c>
      <c r="BY141" s="3">
        <v>7</v>
      </c>
      <c r="BZ141" s="3">
        <v>9</v>
      </c>
      <c r="CA141" s="3">
        <v>7</v>
      </c>
      <c r="CD141" s="3" t="s">
        <v>119</v>
      </c>
      <c r="CN141" s="3" t="s">
        <v>117</v>
      </c>
      <c r="CO141" s="3">
        <v>35000</v>
      </c>
      <c r="CP141" s="3">
        <v>15000</v>
      </c>
      <c r="CQ141" s="3">
        <v>2017</v>
      </c>
      <c r="CR141" s="3">
        <v>2017</v>
      </c>
      <c r="CS141" s="3">
        <v>25</v>
      </c>
      <c r="CT141" s="3">
        <v>75</v>
      </c>
      <c r="CU141" s="3">
        <v>25</v>
      </c>
      <c r="CV141" s="3">
        <v>75</v>
      </c>
      <c r="CW141" s="3">
        <v>5</v>
      </c>
      <c r="CX141" s="3">
        <v>10</v>
      </c>
      <c r="CY141" s="3">
        <v>1</v>
      </c>
      <c r="CZ141" s="3">
        <v>5</v>
      </c>
      <c r="DA141" s="3">
        <v>25</v>
      </c>
      <c r="DB141" s="3">
        <v>10</v>
      </c>
      <c r="DC141" s="3">
        <v>10</v>
      </c>
      <c r="DD141" s="3">
        <v>25</v>
      </c>
      <c r="DE141" s="3">
        <v>9</v>
      </c>
      <c r="DG141" s="3">
        <v>10</v>
      </c>
      <c r="DH141" s="3">
        <v>10</v>
      </c>
      <c r="DI141" s="3">
        <v>10</v>
      </c>
      <c r="DJ141" s="3">
        <v>10</v>
      </c>
      <c r="DK141" s="3">
        <v>10</v>
      </c>
      <c r="DL141" s="3">
        <v>5</v>
      </c>
      <c r="DM141" s="3">
        <v>5</v>
      </c>
      <c r="DN141" s="3">
        <v>20</v>
      </c>
      <c r="DO141" s="3">
        <v>20</v>
      </c>
      <c r="DQ141" s="3">
        <v>3</v>
      </c>
      <c r="DR141" s="3">
        <v>1</v>
      </c>
      <c r="DS141" s="3">
        <v>2017</v>
      </c>
      <c r="DT141" s="3">
        <v>2017</v>
      </c>
      <c r="DU141" s="3" t="s">
        <v>109</v>
      </c>
      <c r="DV141" s="3" t="s">
        <v>111</v>
      </c>
      <c r="DW141" s="3" t="s">
        <v>111</v>
      </c>
      <c r="DX141" s="3" t="s">
        <v>111</v>
      </c>
      <c r="DY141" s="3" t="s">
        <v>111</v>
      </c>
      <c r="DZ141" s="3" t="s">
        <v>111</v>
      </c>
      <c r="EA141" s="3" t="s">
        <v>111</v>
      </c>
      <c r="EB141" s="3" t="s">
        <v>109</v>
      </c>
      <c r="EC141" s="3" t="s">
        <v>129</v>
      </c>
    </row>
    <row r="142" spans="1:133" s="3" customFormat="1" x14ac:dyDescent="0.2">
      <c r="A142" s="3" t="s">
        <v>216</v>
      </c>
      <c r="B142" s="3" t="s">
        <v>238</v>
      </c>
      <c r="C142" s="3" t="s">
        <v>166</v>
      </c>
      <c r="D142" s="3" t="s">
        <v>109</v>
      </c>
      <c r="E142" s="3" t="s">
        <v>116</v>
      </c>
      <c r="F142" s="3">
        <v>65</v>
      </c>
      <c r="G142" s="3" t="s">
        <v>109</v>
      </c>
      <c r="H142" s="3" t="s">
        <v>109</v>
      </c>
      <c r="I142" s="3" t="s">
        <v>109</v>
      </c>
      <c r="J142" s="3" t="s">
        <v>109</v>
      </c>
      <c r="K142" s="3" t="s">
        <v>109</v>
      </c>
      <c r="L142" s="3" t="s">
        <v>109</v>
      </c>
      <c r="M142" s="3" t="s">
        <v>109</v>
      </c>
      <c r="N142" s="3" t="s">
        <v>109</v>
      </c>
      <c r="O142" s="3" t="s">
        <v>111</v>
      </c>
      <c r="P142" s="3" t="s">
        <v>109</v>
      </c>
      <c r="Q142" s="3" t="s">
        <v>109</v>
      </c>
      <c r="R142" s="3" t="s">
        <v>111</v>
      </c>
      <c r="S142" s="3" t="s">
        <v>109</v>
      </c>
      <c r="T142" s="3" t="s">
        <v>109</v>
      </c>
      <c r="U142" s="3" t="s">
        <v>111</v>
      </c>
      <c r="V142" s="3" t="s">
        <v>109</v>
      </c>
      <c r="W142" s="3" t="s">
        <v>109</v>
      </c>
      <c r="X142" s="3" t="s">
        <v>111</v>
      </c>
      <c r="AE142" s="3" t="s">
        <v>109</v>
      </c>
      <c r="AF142" s="3" t="s">
        <v>109</v>
      </c>
      <c r="AG142" s="3" t="s">
        <v>111</v>
      </c>
      <c r="AK142" s="3">
        <v>98</v>
      </c>
      <c r="AL142" s="3">
        <v>85</v>
      </c>
      <c r="AM142" s="3">
        <v>15</v>
      </c>
      <c r="AN142" s="3" t="s">
        <v>109</v>
      </c>
      <c r="AO142" s="3">
        <v>100</v>
      </c>
      <c r="AP142" s="3">
        <v>75</v>
      </c>
      <c r="AQ142" s="3">
        <v>50</v>
      </c>
      <c r="AS142" s="3">
        <v>45</v>
      </c>
      <c r="AT142" s="3">
        <v>5</v>
      </c>
      <c r="AV142" s="3">
        <v>99</v>
      </c>
      <c r="AX142" s="3">
        <v>1</v>
      </c>
      <c r="AZ142" s="3">
        <v>20</v>
      </c>
      <c r="BA142" s="3">
        <v>80</v>
      </c>
      <c r="BB142" s="3">
        <v>95</v>
      </c>
      <c r="BC142" s="3">
        <v>100</v>
      </c>
      <c r="BD142" s="3">
        <v>95</v>
      </c>
      <c r="BE142" s="3">
        <v>100</v>
      </c>
      <c r="BF142" s="3">
        <v>10</v>
      </c>
      <c r="BG142" s="3">
        <v>20</v>
      </c>
      <c r="BH142" s="3">
        <v>10</v>
      </c>
      <c r="BI142" s="3">
        <v>20</v>
      </c>
      <c r="BJ142" s="3">
        <v>1</v>
      </c>
      <c r="BU142" s="3">
        <v>9</v>
      </c>
      <c r="BV142" s="3">
        <v>4</v>
      </c>
      <c r="BW142" s="3">
        <v>7</v>
      </c>
      <c r="BX142" s="3">
        <v>1</v>
      </c>
      <c r="BY142" s="3">
        <v>8</v>
      </c>
      <c r="BZ142" s="3">
        <v>5</v>
      </c>
      <c r="CA142" s="3">
        <v>4</v>
      </c>
      <c r="CD142" s="3" t="s">
        <v>109</v>
      </c>
      <c r="CE142" s="3" t="s">
        <v>109</v>
      </c>
      <c r="CF142" s="3" t="s">
        <v>111</v>
      </c>
      <c r="CG142" s="3" t="s">
        <v>111</v>
      </c>
      <c r="CH142" s="3" t="s">
        <v>111</v>
      </c>
      <c r="CI142" s="3" t="s">
        <v>109</v>
      </c>
      <c r="CJ142" s="3" t="s">
        <v>111</v>
      </c>
      <c r="CK142" s="3" t="s">
        <v>111</v>
      </c>
      <c r="CL142" s="3" t="s">
        <v>111</v>
      </c>
      <c r="CN142" s="3" t="s">
        <v>121</v>
      </c>
      <c r="CO142" s="3">
        <v>40000</v>
      </c>
      <c r="CP142" s="3">
        <v>3000</v>
      </c>
      <c r="CQ142" s="3">
        <v>2017</v>
      </c>
      <c r="CR142" s="3">
        <v>2017</v>
      </c>
      <c r="CS142" s="3">
        <v>15</v>
      </c>
      <c r="CT142" s="3">
        <v>85</v>
      </c>
      <c r="CU142" s="3">
        <v>70</v>
      </c>
      <c r="CV142" s="3">
        <v>30</v>
      </c>
      <c r="CW142" s="3">
        <v>10</v>
      </c>
      <c r="CX142" s="3">
        <v>0</v>
      </c>
      <c r="CY142" s="3">
        <v>0</v>
      </c>
      <c r="CZ142" s="3">
        <v>0</v>
      </c>
      <c r="DA142" s="3">
        <v>70</v>
      </c>
      <c r="DB142" s="3">
        <v>10</v>
      </c>
      <c r="DC142" s="3">
        <v>10</v>
      </c>
      <c r="DD142" s="3">
        <v>0</v>
      </c>
      <c r="DE142" s="3">
        <v>0</v>
      </c>
      <c r="DG142" s="3">
        <v>70</v>
      </c>
      <c r="DH142" s="3">
        <v>10</v>
      </c>
      <c r="DI142" s="3">
        <v>0</v>
      </c>
      <c r="DJ142" s="3">
        <v>10</v>
      </c>
      <c r="DK142" s="3">
        <v>10</v>
      </c>
      <c r="DL142" s="3">
        <v>0</v>
      </c>
      <c r="DM142" s="3">
        <v>0</v>
      </c>
      <c r="DN142" s="3">
        <v>0</v>
      </c>
      <c r="DO142" s="3">
        <v>0</v>
      </c>
      <c r="DQ142" s="3">
        <v>4</v>
      </c>
      <c r="DR142" s="3">
        <v>0.5</v>
      </c>
      <c r="DS142" s="3">
        <v>2017</v>
      </c>
      <c r="DT142" s="3">
        <v>2017</v>
      </c>
      <c r="DU142" s="3" t="s">
        <v>109</v>
      </c>
      <c r="DV142" s="3" t="s">
        <v>111</v>
      </c>
      <c r="DW142" s="3" t="s">
        <v>111</v>
      </c>
      <c r="DX142" s="3" t="s">
        <v>109</v>
      </c>
      <c r="DY142" s="3" t="s">
        <v>109</v>
      </c>
      <c r="DZ142" s="3" t="s">
        <v>111</v>
      </c>
      <c r="EA142" s="3" t="s">
        <v>109</v>
      </c>
      <c r="EB142" s="3" t="s">
        <v>111</v>
      </c>
      <c r="EC142" s="3" t="s">
        <v>111</v>
      </c>
    </row>
    <row r="143" spans="1:133" s="3" customFormat="1" x14ac:dyDescent="0.2">
      <c r="A143" s="3" t="s">
        <v>219</v>
      </c>
      <c r="B143" s="3" t="s">
        <v>215</v>
      </c>
      <c r="C143" s="3" t="s">
        <v>166</v>
      </c>
      <c r="D143" s="3" t="s">
        <v>109</v>
      </c>
      <c r="E143" s="3" t="s">
        <v>112</v>
      </c>
      <c r="F143" s="3">
        <v>1</v>
      </c>
      <c r="G143" s="3" t="s">
        <v>109</v>
      </c>
      <c r="H143" s="3" t="s">
        <v>109</v>
      </c>
      <c r="I143" s="3" t="s">
        <v>109</v>
      </c>
      <c r="J143" s="3" t="s">
        <v>111</v>
      </c>
      <c r="K143" s="3" t="s">
        <v>109</v>
      </c>
      <c r="L143" s="3" t="s">
        <v>109</v>
      </c>
      <c r="M143" s="3" t="s">
        <v>109</v>
      </c>
      <c r="N143" s="3" t="s">
        <v>111</v>
      </c>
      <c r="O143" s="3" t="s">
        <v>111</v>
      </c>
      <c r="P143" s="3" t="s">
        <v>109</v>
      </c>
      <c r="Q143" s="3" t="s">
        <v>111</v>
      </c>
      <c r="R143" s="3" t="s">
        <v>111</v>
      </c>
      <c r="S143" s="3" t="s">
        <v>109</v>
      </c>
      <c r="T143" s="3" t="s">
        <v>109</v>
      </c>
      <c r="U143" s="3" t="s">
        <v>111</v>
      </c>
      <c r="V143" s="3" t="s">
        <v>111</v>
      </c>
      <c r="W143" s="3" t="s">
        <v>111</v>
      </c>
      <c r="X143" s="3" t="s">
        <v>109</v>
      </c>
      <c r="Y143" s="3" t="s">
        <v>111</v>
      </c>
      <c r="Z143" s="3" t="s">
        <v>111</v>
      </c>
      <c r="AA143" s="3" t="s">
        <v>109</v>
      </c>
      <c r="AB143" s="3" t="s">
        <v>111</v>
      </c>
      <c r="AC143" s="3" t="s">
        <v>111</v>
      </c>
      <c r="AD143" s="3" t="s">
        <v>109</v>
      </c>
      <c r="AE143" s="3" t="s">
        <v>111</v>
      </c>
      <c r="AF143" s="3" t="s">
        <v>109</v>
      </c>
      <c r="AG143" s="3" t="s">
        <v>111</v>
      </c>
      <c r="AH143" s="3" t="s">
        <v>111</v>
      </c>
      <c r="AI143" s="3" t="s">
        <v>109</v>
      </c>
      <c r="AJ143" s="3" t="s">
        <v>111</v>
      </c>
      <c r="AK143" s="3">
        <v>50</v>
      </c>
      <c r="AL143" s="3">
        <v>60</v>
      </c>
      <c r="AM143" s="3">
        <v>20</v>
      </c>
      <c r="AN143" s="3" t="s">
        <v>109</v>
      </c>
    </row>
    <row r="144" spans="1:133" s="3" customFormat="1" x14ac:dyDescent="0.2">
      <c r="A144" s="84" t="s">
        <v>224</v>
      </c>
      <c r="B144" s="3" t="s">
        <v>238</v>
      </c>
      <c r="C144" s="3" t="s">
        <v>166</v>
      </c>
      <c r="D144" s="3" t="s">
        <v>109</v>
      </c>
      <c r="E144" s="3" t="s">
        <v>112</v>
      </c>
      <c r="F144" s="3">
        <v>0</v>
      </c>
      <c r="G144" s="3" t="s">
        <v>111</v>
      </c>
      <c r="L144" s="3" t="s">
        <v>111</v>
      </c>
      <c r="M144" s="3" t="s">
        <v>109</v>
      </c>
      <c r="N144" s="3" t="s">
        <v>111</v>
      </c>
      <c r="O144" s="3" t="s">
        <v>111</v>
      </c>
      <c r="P144" s="3" t="s">
        <v>111</v>
      </c>
      <c r="Q144" s="3" t="s">
        <v>111</v>
      </c>
      <c r="R144" s="3" t="s">
        <v>109</v>
      </c>
      <c r="S144" s="3" t="s">
        <v>111</v>
      </c>
      <c r="T144" s="3" t="s">
        <v>111</v>
      </c>
      <c r="U144" s="3" t="s">
        <v>109</v>
      </c>
      <c r="V144" s="3" t="s">
        <v>111</v>
      </c>
      <c r="W144" s="3" t="s">
        <v>111</v>
      </c>
      <c r="X144" s="3" t="s">
        <v>109</v>
      </c>
      <c r="Y144" s="3" t="s">
        <v>111</v>
      </c>
      <c r="Z144" s="3" t="s">
        <v>111</v>
      </c>
      <c r="AA144" s="3" t="s">
        <v>109</v>
      </c>
      <c r="AB144" s="3" t="s">
        <v>109</v>
      </c>
      <c r="AC144" s="3" t="s">
        <v>111</v>
      </c>
      <c r="AD144" s="3" t="s">
        <v>111</v>
      </c>
      <c r="AE144" s="3" t="s">
        <v>109</v>
      </c>
      <c r="AF144" s="3" t="s">
        <v>109</v>
      </c>
      <c r="AG144" s="3" t="s">
        <v>111</v>
      </c>
      <c r="AH144" s="3" t="s">
        <v>111</v>
      </c>
      <c r="AI144" s="3" t="s">
        <v>111</v>
      </c>
      <c r="AJ144" s="3" t="s">
        <v>109</v>
      </c>
      <c r="AK144" s="3">
        <v>50</v>
      </c>
      <c r="AL144" s="3">
        <v>0</v>
      </c>
      <c r="AM144" s="3">
        <v>0</v>
      </c>
      <c r="AN144" s="3" t="s">
        <v>111</v>
      </c>
    </row>
    <row r="145" spans="1:133" s="3" customFormat="1" x14ac:dyDescent="0.2">
      <c r="A145" s="84" t="s">
        <v>224</v>
      </c>
      <c r="B145" s="3" t="s">
        <v>238</v>
      </c>
      <c r="C145" s="3" t="s">
        <v>166</v>
      </c>
      <c r="D145" s="3" t="s">
        <v>109</v>
      </c>
      <c r="F145" s="3">
        <v>10</v>
      </c>
      <c r="G145" s="3" t="s">
        <v>109</v>
      </c>
      <c r="H145" s="3" t="s">
        <v>109</v>
      </c>
      <c r="I145" s="3" t="s">
        <v>111</v>
      </c>
      <c r="J145" s="3" t="s">
        <v>109</v>
      </c>
      <c r="K145" s="3" t="s">
        <v>111</v>
      </c>
      <c r="L145" s="3" t="s">
        <v>111</v>
      </c>
      <c r="M145" s="3" t="s">
        <v>109</v>
      </c>
      <c r="N145" s="3" t="s">
        <v>111</v>
      </c>
      <c r="O145" s="3" t="s">
        <v>111</v>
      </c>
      <c r="P145" s="3" t="s">
        <v>109</v>
      </c>
      <c r="Q145" s="3" t="s">
        <v>111</v>
      </c>
      <c r="R145" s="3" t="s">
        <v>111</v>
      </c>
      <c r="S145" s="3" t="s">
        <v>111</v>
      </c>
      <c r="T145" s="3" t="s">
        <v>111</v>
      </c>
      <c r="U145" s="3" t="s">
        <v>109</v>
      </c>
      <c r="V145" s="3" t="s">
        <v>109</v>
      </c>
      <c r="W145" s="3" t="s">
        <v>111</v>
      </c>
      <c r="X145" s="3" t="s">
        <v>111</v>
      </c>
      <c r="Y145" s="3" t="s">
        <v>109</v>
      </c>
      <c r="Z145" s="3" t="s">
        <v>111</v>
      </c>
      <c r="AA145" s="3" t="s">
        <v>111</v>
      </c>
      <c r="AB145" s="3" t="s">
        <v>111</v>
      </c>
      <c r="AC145" s="3" t="s">
        <v>111</v>
      </c>
      <c r="AD145" s="3" t="s">
        <v>109</v>
      </c>
      <c r="AE145" s="3" t="s">
        <v>111</v>
      </c>
      <c r="AF145" s="3" t="s">
        <v>111</v>
      </c>
      <c r="AG145" s="3" t="s">
        <v>109</v>
      </c>
      <c r="AH145" s="3" t="s">
        <v>111</v>
      </c>
      <c r="AI145" s="3" t="s">
        <v>111</v>
      </c>
      <c r="AJ145" s="3" t="s">
        <v>109</v>
      </c>
      <c r="AK145" s="3">
        <v>95</v>
      </c>
      <c r="AL145" s="3">
        <v>75</v>
      </c>
      <c r="AM145" s="3">
        <v>25</v>
      </c>
      <c r="AN145" s="3" t="s">
        <v>109</v>
      </c>
      <c r="AO145" s="3">
        <v>90</v>
      </c>
      <c r="AP145" s="3">
        <v>95</v>
      </c>
      <c r="AQ145" s="3">
        <v>10</v>
      </c>
      <c r="AR145" s="3">
        <v>75</v>
      </c>
      <c r="AS145" s="3">
        <v>10</v>
      </c>
      <c r="AT145" s="3">
        <v>5</v>
      </c>
      <c r="BB145" s="3">
        <v>100</v>
      </c>
      <c r="BD145" s="3">
        <v>100</v>
      </c>
      <c r="BF145" s="3">
        <v>100</v>
      </c>
      <c r="BU145" s="3">
        <v>9</v>
      </c>
      <c r="BV145" s="3">
        <v>5</v>
      </c>
      <c r="BW145" s="3">
        <v>9</v>
      </c>
      <c r="BX145" s="3">
        <v>7</v>
      </c>
      <c r="BY145" s="3">
        <v>5</v>
      </c>
      <c r="BZ145" s="3">
        <v>8</v>
      </c>
      <c r="CA145" s="3">
        <v>8</v>
      </c>
      <c r="CD145" s="3" t="s">
        <v>111</v>
      </c>
      <c r="CN145" s="3" t="s">
        <v>117</v>
      </c>
      <c r="CO145" s="3">
        <v>1500</v>
      </c>
      <c r="CP145" s="3">
        <v>10000</v>
      </c>
      <c r="CQ145" s="3">
        <v>2017</v>
      </c>
      <c r="CR145" s="3">
        <v>2009</v>
      </c>
      <c r="CS145" s="3">
        <v>40</v>
      </c>
      <c r="CT145" s="3">
        <v>60</v>
      </c>
      <c r="CU145" s="3">
        <v>30</v>
      </c>
      <c r="CV145" s="3">
        <v>70</v>
      </c>
      <c r="CW145" s="3">
        <v>30</v>
      </c>
      <c r="CX145" s="3">
        <v>30</v>
      </c>
      <c r="CY145" s="3">
        <v>0</v>
      </c>
      <c r="CZ145" s="3">
        <v>0</v>
      </c>
      <c r="DA145" s="3">
        <v>0</v>
      </c>
      <c r="DB145" s="3">
        <v>10</v>
      </c>
      <c r="DC145" s="3">
        <v>0</v>
      </c>
      <c r="DD145" s="3">
        <v>30</v>
      </c>
      <c r="DE145" s="3">
        <v>0</v>
      </c>
      <c r="DG145" s="3">
        <v>0</v>
      </c>
      <c r="DH145" s="3">
        <v>10</v>
      </c>
      <c r="DI145" s="3">
        <v>10</v>
      </c>
      <c r="DJ145" s="3">
        <v>0</v>
      </c>
      <c r="DK145" s="3">
        <v>30</v>
      </c>
      <c r="DL145" s="3">
        <v>30</v>
      </c>
      <c r="DM145" s="3">
        <v>10</v>
      </c>
      <c r="DN145" s="3">
        <v>10</v>
      </c>
      <c r="DO145" s="3">
        <v>0</v>
      </c>
      <c r="DU145" s="3" t="s">
        <v>109</v>
      </c>
      <c r="DV145" s="3" t="s">
        <v>111</v>
      </c>
      <c r="DW145" s="3" t="s">
        <v>109</v>
      </c>
      <c r="DX145" s="3" t="s">
        <v>111</v>
      </c>
      <c r="DY145" s="3" t="s">
        <v>111</v>
      </c>
      <c r="DZ145" s="3" t="s">
        <v>109</v>
      </c>
      <c r="EA145" s="3" t="s">
        <v>111</v>
      </c>
      <c r="EB145" s="3" t="s">
        <v>111</v>
      </c>
      <c r="EC145" s="3" t="s">
        <v>111</v>
      </c>
    </row>
    <row r="146" spans="1:133" s="3" customFormat="1" x14ac:dyDescent="0.2">
      <c r="A146" s="84" t="s">
        <v>227</v>
      </c>
      <c r="B146" s="3" t="s">
        <v>238</v>
      </c>
      <c r="C146" s="3" t="s">
        <v>166</v>
      </c>
      <c r="D146" s="3" t="s">
        <v>109</v>
      </c>
      <c r="E146" s="3" t="s">
        <v>114</v>
      </c>
      <c r="F146" s="3">
        <v>139</v>
      </c>
      <c r="G146" s="3" t="s">
        <v>111</v>
      </c>
      <c r="L146" s="3" t="s">
        <v>111</v>
      </c>
      <c r="M146" s="3" t="s">
        <v>109</v>
      </c>
      <c r="N146" s="3" t="s">
        <v>111</v>
      </c>
      <c r="O146" s="3" t="s">
        <v>111</v>
      </c>
      <c r="P146" s="3" t="s">
        <v>109</v>
      </c>
      <c r="Q146" s="3" t="s">
        <v>111</v>
      </c>
      <c r="R146" s="3" t="s">
        <v>111</v>
      </c>
      <c r="S146" s="3" t="s">
        <v>109</v>
      </c>
      <c r="T146" s="3" t="s">
        <v>111</v>
      </c>
      <c r="U146" s="3" t="s">
        <v>111</v>
      </c>
      <c r="V146" s="3" t="s">
        <v>109</v>
      </c>
      <c r="W146" s="3" t="s">
        <v>109</v>
      </c>
      <c r="X146" s="3" t="s">
        <v>111</v>
      </c>
      <c r="AK146" s="3">
        <v>95</v>
      </c>
      <c r="AL146" s="3">
        <v>50</v>
      </c>
      <c r="AM146" s="3">
        <v>25</v>
      </c>
      <c r="AN146" s="3" t="s">
        <v>111</v>
      </c>
    </row>
    <row r="147" spans="1:133" s="3" customFormat="1" x14ac:dyDescent="0.2">
      <c r="A147" s="3" t="s">
        <v>229</v>
      </c>
      <c r="B147" s="3" t="s">
        <v>215</v>
      </c>
      <c r="C147" s="3" t="s">
        <v>166</v>
      </c>
      <c r="D147" s="3" t="s">
        <v>109</v>
      </c>
      <c r="E147" s="3" t="s">
        <v>116</v>
      </c>
      <c r="F147" s="3">
        <v>55</v>
      </c>
      <c r="G147" s="3" t="s">
        <v>109</v>
      </c>
      <c r="H147" s="3" t="s">
        <v>109</v>
      </c>
      <c r="I147" s="3" t="s">
        <v>111</v>
      </c>
      <c r="J147" s="3" t="s">
        <v>109</v>
      </c>
      <c r="K147" s="3" t="s">
        <v>109</v>
      </c>
      <c r="L147" s="3" t="s">
        <v>109</v>
      </c>
      <c r="M147" s="3" t="s">
        <v>109</v>
      </c>
      <c r="N147" s="3" t="s">
        <v>109</v>
      </c>
      <c r="O147" s="3" t="s">
        <v>111</v>
      </c>
      <c r="P147" s="3" t="s">
        <v>109</v>
      </c>
      <c r="Q147" s="3" t="s">
        <v>109</v>
      </c>
      <c r="R147" s="3" t="s">
        <v>111</v>
      </c>
      <c r="S147" s="3" t="s">
        <v>109</v>
      </c>
      <c r="T147" s="3" t="s">
        <v>109</v>
      </c>
      <c r="U147" s="3" t="s">
        <v>111</v>
      </c>
      <c r="V147" s="3" t="s">
        <v>111</v>
      </c>
      <c r="W147" s="3" t="s">
        <v>111</v>
      </c>
      <c r="X147" s="3" t="s">
        <v>109</v>
      </c>
      <c r="Y147" s="3" t="s">
        <v>111</v>
      </c>
      <c r="Z147" s="3" t="s">
        <v>111</v>
      </c>
      <c r="AA147" s="3" t="s">
        <v>109</v>
      </c>
      <c r="AB147" s="3" t="s">
        <v>111</v>
      </c>
      <c r="AC147" s="3" t="s">
        <v>111</v>
      </c>
      <c r="AD147" s="3" t="s">
        <v>109</v>
      </c>
      <c r="AE147" s="3" t="s">
        <v>111</v>
      </c>
      <c r="AF147" s="3" t="s">
        <v>111</v>
      </c>
      <c r="AG147" s="3" t="s">
        <v>109</v>
      </c>
      <c r="AH147" s="3" t="s">
        <v>109</v>
      </c>
      <c r="AI147" s="3" t="s">
        <v>109</v>
      </c>
      <c r="AJ147" s="3" t="s">
        <v>111</v>
      </c>
      <c r="AK147" s="3">
        <v>15</v>
      </c>
      <c r="AL147" s="3">
        <v>10</v>
      </c>
      <c r="AM147" s="3">
        <v>90</v>
      </c>
      <c r="AN147" s="3" t="s">
        <v>109</v>
      </c>
      <c r="AO147" s="3">
        <v>90</v>
      </c>
      <c r="AP147" s="3">
        <v>80</v>
      </c>
      <c r="AQ147" s="3">
        <v>80</v>
      </c>
      <c r="AR147" s="3">
        <v>10</v>
      </c>
      <c r="AS147" s="3">
        <v>5</v>
      </c>
      <c r="AT147" s="3">
        <v>5</v>
      </c>
      <c r="AU147" s="3">
        <v>80</v>
      </c>
      <c r="AV147" s="3">
        <v>10</v>
      </c>
      <c r="AX147" s="3">
        <v>10</v>
      </c>
      <c r="AY147" s="3">
        <v>10</v>
      </c>
      <c r="AZ147" s="3">
        <v>10</v>
      </c>
      <c r="BA147" s="3">
        <v>80</v>
      </c>
      <c r="BB147" s="3">
        <v>80</v>
      </c>
      <c r="BC147" s="3">
        <v>90</v>
      </c>
      <c r="BD147" s="3">
        <v>20</v>
      </c>
      <c r="BE147" s="3">
        <v>20</v>
      </c>
      <c r="BF147" s="3">
        <v>10</v>
      </c>
      <c r="BG147" s="3">
        <v>20</v>
      </c>
      <c r="BI147" s="3">
        <v>75</v>
      </c>
      <c r="BJ147" s="3">
        <v>1</v>
      </c>
      <c r="BK147" s="3">
        <v>3</v>
      </c>
      <c r="BR147" s="3">
        <v>30</v>
      </c>
      <c r="BS147" s="3">
        <v>50</v>
      </c>
      <c r="BT147" s="3" t="s">
        <v>127</v>
      </c>
      <c r="BU147" s="3">
        <v>10</v>
      </c>
      <c r="BV147" s="3">
        <v>3</v>
      </c>
      <c r="BW147" s="3">
        <v>8</v>
      </c>
      <c r="BX147" s="3">
        <v>1</v>
      </c>
      <c r="BY147" s="3">
        <v>6</v>
      </c>
      <c r="BZ147" s="3">
        <v>7</v>
      </c>
      <c r="CA147" s="3">
        <v>7</v>
      </c>
      <c r="CB147" s="3">
        <v>6</v>
      </c>
      <c r="CC147" s="3" t="s">
        <v>128</v>
      </c>
      <c r="CD147" s="3" t="s">
        <v>109</v>
      </c>
      <c r="CE147" s="3" t="s">
        <v>109</v>
      </c>
      <c r="CF147" s="3" t="s">
        <v>111</v>
      </c>
      <c r="CG147" s="3" t="s">
        <v>111</v>
      </c>
      <c r="CH147" s="3" t="s">
        <v>111</v>
      </c>
      <c r="CI147" s="3" t="s">
        <v>111</v>
      </c>
      <c r="CJ147" s="3" t="s">
        <v>109</v>
      </c>
      <c r="CK147" s="3" t="s">
        <v>109</v>
      </c>
      <c r="CL147" s="3" t="s">
        <v>111</v>
      </c>
      <c r="CM147" s="55">
        <v>1000000</v>
      </c>
      <c r="CN147" s="3" t="s">
        <v>121</v>
      </c>
      <c r="DQ147" s="3">
        <v>10</v>
      </c>
      <c r="DR147" s="3">
        <v>10</v>
      </c>
      <c r="DS147" s="3">
        <v>2016</v>
      </c>
      <c r="DU147" s="3" t="s">
        <v>109</v>
      </c>
      <c r="DV147" s="3" t="s">
        <v>111</v>
      </c>
      <c r="DW147" s="3" t="s">
        <v>109</v>
      </c>
      <c r="DX147" s="3" t="s">
        <v>111</v>
      </c>
      <c r="DY147" s="3" t="s">
        <v>111</v>
      </c>
      <c r="DZ147" s="3" t="s">
        <v>111</v>
      </c>
      <c r="EA147" s="3" t="s">
        <v>111</v>
      </c>
      <c r="EB147" s="3" t="s">
        <v>111</v>
      </c>
      <c r="EC147" s="3" t="s">
        <v>111</v>
      </c>
    </row>
    <row r="148" spans="1:133" s="3" customFormat="1" x14ac:dyDescent="0.2">
      <c r="A148" s="3" t="s">
        <v>211</v>
      </c>
      <c r="B148" s="54" t="s">
        <v>215</v>
      </c>
      <c r="C148" s="3" t="s">
        <v>166</v>
      </c>
      <c r="D148" s="3" t="s">
        <v>109</v>
      </c>
      <c r="E148" s="3" t="s">
        <v>116</v>
      </c>
      <c r="F148" s="3">
        <v>200</v>
      </c>
      <c r="G148" s="3" t="s">
        <v>109</v>
      </c>
      <c r="H148" s="3" t="s">
        <v>109</v>
      </c>
      <c r="I148" s="3" t="s">
        <v>111</v>
      </c>
      <c r="J148" s="3" t="s">
        <v>109</v>
      </c>
      <c r="K148" s="3" t="s">
        <v>111</v>
      </c>
      <c r="L148" s="3" t="s">
        <v>109</v>
      </c>
      <c r="M148" s="3" t="s">
        <v>109</v>
      </c>
      <c r="N148" s="3" t="s">
        <v>111</v>
      </c>
      <c r="O148" s="3" t="s">
        <v>111</v>
      </c>
      <c r="P148" s="3" t="s">
        <v>111</v>
      </c>
      <c r="Q148" s="3" t="s">
        <v>111</v>
      </c>
      <c r="R148" s="3" t="s">
        <v>109</v>
      </c>
      <c r="S148" s="3" t="s">
        <v>111</v>
      </c>
      <c r="T148" s="3" t="s">
        <v>111</v>
      </c>
      <c r="U148" s="3" t="s">
        <v>109</v>
      </c>
      <c r="V148" s="3" t="s">
        <v>111</v>
      </c>
      <c r="W148" s="3" t="s">
        <v>111</v>
      </c>
      <c r="X148" s="3" t="s">
        <v>109</v>
      </c>
      <c r="Y148" s="3" t="s">
        <v>111</v>
      </c>
      <c r="Z148" s="3" t="s">
        <v>111</v>
      </c>
      <c r="AA148" s="3" t="s">
        <v>109</v>
      </c>
      <c r="AB148" s="3" t="s">
        <v>111</v>
      </c>
      <c r="AC148" s="3" t="s">
        <v>111</v>
      </c>
      <c r="AD148" s="3" t="s">
        <v>109</v>
      </c>
      <c r="AE148" s="3" t="s">
        <v>111</v>
      </c>
      <c r="AF148" s="3" t="s">
        <v>111</v>
      </c>
      <c r="AG148" s="3" t="s">
        <v>109</v>
      </c>
      <c r="AH148" s="3" t="s">
        <v>111</v>
      </c>
      <c r="AI148" s="3" t="s">
        <v>111</v>
      </c>
      <c r="AJ148" s="3" t="s">
        <v>109</v>
      </c>
      <c r="AK148" s="3">
        <v>75</v>
      </c>
      <c r="AL148" s="3">
        <v>8</v>
      </c>
      <c r="AM148" s="3">
        <v>80</v>
      </c>
      <c r="AN148" s="3" t="s">
        <v>109</v>
      </c>
      <c r="AO148" s="3">
        <v>8</v>
      </c>
      <c r="AP148" s="3">
        <v>8</v>
      </c>
      <c r="AQ148" s="3">
        <v>10</v>
      </c>
      <c r="AR148" s="3">
        <v>5</v>
      </c>
      <c r="AS148" s="3">
        <v>50</v>
      </c>
      <c r="AT148" s="3">
        <v>35</v>
      </c>
      <c r="AV148" s="3">
        <v>100</v>
      </c>
      <c r="AY148" s="3">
        <v>90</v>
      </c>
      <c r="BA148" s="3">
        <v>8</v>
      </c>
      <c r="BB148" s="3">
        <v>8</v>
      </c>
      <c r="BC148" s="3">
        <v>25</v>
      </c>
      <c r="BE148" s="3">
        <v>75</v>
      </c>
      <c r="BU148" s="3">
        <v>8</v>
      </c>
      <c r="BV148" s="3">
        <v>8</v>
      </c>
      <c r="BW148" s="3">
        <v>7</v>
      </c>
      <c r="BX148" s="3">
        <v>8</v>
      </c>
      <c r="BY148" s="3">
        <v>8</v>
      </c>
      <c r="BZ148" s="3">
        <v>4</v>
      </c>
      <c r="CA148" s="3">
        <v>4</v>
      </c>
      <c r="CD148" s="3" t="s">
        <v>109</v>
      </c>
      <c r="CE148" s="3" t="s">
        <v>109</v>
      </c>
      <c r="CF148" s="3" t="s">
        <v>111</v>
      </c>
      <c r="CG148" s="3" t="s">
        <v>111</v>
      </c>
      <c r="CH148" s="3" t="s">
        <v>111</v>
      </c>
      <c r="CI148" s="3" t="s">
        <v>111</v>
      </c>
      <c r="CJ148" s="3" t="s">
        <v>109</v>
      </c>
      <c r="CK148" s="3" t="s">
        <v>111</v>
      </c>
      <c r="CL148" s="3" t="s">
        <v>111</v>
      </c>
      <c r="CM148" s="3">
        <v>8000</v>
      </c>
      <c r="CN148" s="3" t="s">
        <v>117</v>
      </c>
      <c r="CO148" s="3">
        <v>0</v>
      </c>
      <c r="CP148" s="3">
        <v>500000</v>
      </c>
      <c r="CQ148" s="3">
        <v>2017</v>
      </c>
      <c r="CR148" s="3">
        <v>2017</v>
      </c>
      <c r="CS148" s="3">
        <v>90</v>
      </c>
      <c r="CT148" s="3">
        <v>10</v>
      </c>
      <c r="CU148" s="3">
        <v>60</v>
      </c>
      <c r="CV148" s="3">
        <v>40</v>
      </c>
      <c r="CW148" s="3">
        <v>20</v>
      </c>
      <c r="CX148" s="3">
        <v>0</v>
      </c>
      <c r="CY148" s="3">
        <v>0</v>
      </c>
      <c r="CZ148" s="3">
        <v>5</v>
      </c>
      <c r="DA148" s="3">
        <v>50</v>
      </c>
      <c r="DB148" s="3">
        <v>5</v>
      </c>
      <c r="DC148" s="3">
        <v>10</v>
      </c>
      <c r="DD148" s="3">
        <v>10</v>
      </c>
      <c r="DE148" s="3">
        <v>0</v>
      </c>
      <c r="DG148" s="3">
        <v>60</v>
      </c>
      <c r="DH148" s="3">
        <v>10</v>
      </c>
      <c r="DI148" s="3">
        <v>0</v>
      </c>
      <c r="DJ148" s="3">
        <v>5</v>
      </c>
      <c r="DK148" s="3">
        <v>5</v>
      </c>
      <c r="DL148" s="3">
        <v>10</v>
      </c>
      <c r="DM148" s="3">
        <v>5</v>
      </c>
      <c r="DN148" s="3">
        <v>5</v>
      </c>
      <c r="DO148" s="3">
        <v>0</v>
      </c>
      <c r="DQ148" s="3">
        <v>4</v>
      </c>
      <c r="DS148" s="3">
        <v>2017</v>
      </c>
      <c r="DU148" s="3" t="s">
        <v>111</v>
      </c>
      <c r="DV148" s="3" t="s">
        <v>111</v>
      </c>
      <c r="DW148" s="3" t="s">
        <v>109</v>
      </c>
      <c r="DX148" s="3" t="s">
        <v>109</v>
      </c>
      <c r="DY148" s="3" t="s">
        <v>111</v>
      </c>
      <c r="DZ148" s="3" t="s">
        <v>111</v>
      </c>
      <c r="EA148" s="3" t="s">
        <v>111</v>
      </c>
      <c r="EB148" s="3" t="s">
        <v>111</v>
      </c>
      <c r="EC148" s="3" t="s">
        <v>111</v>
      </c>
    </row>
    <row r="149" spans="1:133" s="3" customFormat="1" x14ac:dyDescent="0.2">
      <c r="A149" s="3" t="s">
        <v>216</v>
      </c>
      <c r="B149" s="3" t="s">
        <v>238</v>
      </c>
      <c r="C149" s="3" t="s">
        <v>166</v>
      </c>
      <c r="D149" s="3" t="s">
        <v>109</v>
      </c>
      <c r="E149" s="3" t="s">
        <v>116</v>
      </c>
      <c r="F149" s="3">
        <v>63.2</v>
      </c>
      <c r="G149" s="3" t="s">
        <v>109</v>
      </c>
      <c r="H149" s="3" t="s">
        <v>109</v>
      </c>
      <c r="I149" s="3" t="s">
        <v>111</v>
      </c>
      <c r="J149" s="3" t="s">
        <v>109</v>
      </c>
      <c r="K149" s="3" t="s">
        <v>109</v>
      </c>
      <c r="L149" s="3" t="s">
        <v>109</v>
      </c>
      <c r="M149" s="3" t="s">
        <v>109</v>
      </c>
      <c r="N149" s="3" t="s">
        <v>111</v>
      </c>
      <c r="O149" s="3" t="s">
        <v>111</v>
      </c>
      <c r="P149" s="3" t="s">
        <v>109</v>
      </c>
      <c r="Q149" s="3" t="s">
        <v>109</v>
      </c>
      <c r="R149" s="3" t="s">
        <v>111</v>
      </c>
      <c r="S149" s="3" t="s">
        <v>109</v>
      </c>
      <c r="T149" s="3" t="s">
        <v>111</v>
      </c>
      <c r="U149" s="3" t="s">
        <v>111</v>
      </c>
      <c r="V149" s="3" t="s">
        <v>109</v>
      </c>
      <c r="W149" s="3" t="s">
        <v>109</v>
      </c>
      <c r="X149" s="3" t="s">
        <v>111</v>
      </c>
      <c r="Y149" s="3" t="s">
        <v>111</v>
      </c>
      <c r="Z149" s="3" t="s">
        <v>111</v>
      </c>
      <c r="AA149" s="3" t="s">
        <v>109</v>
      </c>
      <c r="AB149" s="3" t="s">
        <v>111</v>
      </c>
      <c r="AC149" s="3" t="s">
        <v>111</v>
      </c>
      <c r="AD149" s="3" t="s">
        <v>109</v>
      </c>
      <c r="AE149" s="3" t="s">
        <v>109</v>
      </c>
      <c r="AF149" s="3" t="s">
        <v>109</v>
      </c>
      <c r="AG149" s="3" t="s">
        <v>111</v>
      </c>
      <c r="AH149" s="3" t="s">
        <v>109</v>
      </c>
      <c r="AI149" s="3" t="s">
        <v>109</v>
      </c>
      <c r="AJ149" s="3" t="s">
        <v>111</v>
      </c>
      <c r="AK149" s="3">
        <v>90</v>
      </c>
      <c r="AL149" s="3">
        <v>90</v>
      </c>
      <c r="AM149" s="3">
        <v>10</v>
      </c>
      <c r="AN149" s="3" t="s">
        <v>109</v>
      </c>
      <c r="AO149" s="3">
        <v>85</v>
      </c>
      <c r="AP149" s="3">
        <v>85</v>
      </c>
      <c r="AQ149" s="3">
        <v>5</v>
      </c>
      <c r="AR149" s="3">
        <v>50</v>
      </c>
      <c r="AS149" s="3">
        <v>45</v>
      </c>
      <c r="AU149" s="3">
        <v>5</v>
      </c>
      <c r="AV149" s="3">
        <v>95</v>
      </c>
      <c r="AY149" s="3">
        <v>90</v>
      </c>
      <c r="AZ149" s="3">
        <v>90</v>
      </c>
      <c r="BA149" s="3">
        <v>85</v>
      </c>
      <c r="BB149" s="3">
        <v>85</v>
      </c>
      <c r="BC149" s="3">
        <v>90</v>
      </c>
      <c r="BD149" s="3">
        <v>85</v>
      </c>
      <c r="BE149" s="3">
        <v>90</v>
      </c>
      <c r="BF149" s="3">
        <v>5</v>
      </c>
      <c r="BG149" s="3">
        <v>25</v>
      </c>
      <c r="BH149" s="3">
        <v>85</v>
      </c>
      <c r="BI149" s="3">
        <v>90</v>
      </c>
      <c r="BJ149" s="3">
        <v>1</v>
      </c>
      <c r="BK149" s="3">
        <v>1</v>
      </c>
      <c r="BT149" s="3" t="s">
        <v>125</v>
      </c>
      <c r="BU149" s="3">
        <v>9</v>
      </c>
      <c r="BV149" s="3">
        <v>9</v>
      </c>
      <c r="BW149" s="3">
        <v>9</v>
      </c>
      <c r="BX149" s="3">
        <v>5</v>
      </c>
      <c r="BY149" s="3">
        <v>9</v>
      </c>
      <c r="BZ149" s="3">
        <v>9</v>
      </c>
      <c r="CA149" s="3">
        <v>5</v>
      </c>
      <c r="CB149" s="3">
        <v>5</v>
      </c>
      <c r="CD149" s="3" t="s">
        <v>109</v>
      </c>
      <c r="CE149" s="3" t="s">
        <v>109</v>
      </c>
      <c r="CF149" s="3" t="s">
        <v>111</v>
      </c>
      <c r="CG149" s="3" t="s">
        <v>111</v>
      </c>
      <c r="CH149" s="3" t="s">
        <v>111</v>
      </c>
      <c r="CI149" s="3" t="s">
        <v>109</v>
      </c>
      <c r="CJ149" s="3" t="s">
        <v>111</v>
      </c>
      <c r="CK149" s="3" t="s">
        <v>111</v>
      </c>
      <c r="CL149" s="3" t="s">
        <v>126</v>
      </c>
      <c r="CN149" s="3" t="s">
        <v>117</v>
      </c>
      <c r="CO149" s="3">
        <v>100000</v>
      </c>
      <c r="CP149" s="3">
        <v>0</v>
      </c>
      <c r="CQ149" s="3">
        <v>2016</v>
      </c>
      <c r="CR149" s="3">
        <v>2016</v>
      </c>
      <c r="CS149" s="3">
        <v>50</v>
      </c>
      <c r="CT149" s="3">
        <v>50</v>
      </c>
      <c r="CU149" s="3">
        <v>90</v>
      </c>
      <c r="CV149" s="3">
        <v>10</v>
      </c>
      <c r="CW149" s="3">
        <v>10</v>
      </c>
      <c r="CX149" s="3">
        <v>20</v>
      </c>
      <c r="CY149" s="3">
        <v>5</v>
      </c>
      <c r="CZ149" s="3">
        <v>5</v>
      </c>
      <c r="DA149" s="3">
        <v>20</v>
      </c>
      <c r="DB149" s="3">
        <v>5</v>
      </c>
      <c r="DC149" s="3">
        <v>25</v>
      </c>
      <c r="DD149" s="3">
        <v>10</v>
      </c>
      <c r="DE149" s="3">
        <v>0</v>
      </c>
      <c r="DG149" s="3">
        <v>50</v>
      </c>
      <c r="DH149" s="3">
        <v>10</v>
      </c>
      <c r="DI149" s="3">
        <v>5</v>
      </c>
      <c r="DJ149" s="3">
        <v>10</v>
      </c>
      <c r="DK149" s="3">
        <v>20</v>
      </c>
      <c r="DL149" s="3">
        <v>5</v>
      </c>
      <c r="DM149" s="3">
        <v>0</v>
      </c>
      <c r="DN149" s="3">
        <v>0</v>
      </c>
      <c r="DO149" s="3">
        <v>0</v>
      </c>
      <c r="DQ149" s="3">
        <v>5</v>
      </c>
      <c r="DR149" s="3">
        <v>1</v>
      </c>
      <c r="DS149" s="3">
        <v>2016</v>
      </c>
      <c r="DT149" s="3">
        <v>2016</v>
      </c>
      <c r="DU149" s="3" t="s">
        <v>109</v>
      </c>
      <c r="DV149" s="3" t="s">
        <v>111</v>
      </c>
      <c r="DW149" s="3" t="s">
        <v>109</v>
      </c>
      <c r="DX149" s="3" t="s">
        <v>109</v>
      </c>
      <c r="DY149" s="3" t="s">
        <v>111</v>
      </c>
      <c r="DZ149" s="3" t="s">
        <v>111</v>
      </c>
      <c r="EA149" s="3" t="s">
        <v>111</v>
      </c>
      <c r="EB149" s="3" t="s">
        <v>111</v>
      </c>
      <c r="EC149" s="3" t="s">
        <v>111</v>
      </c>
    </row>
    <row r="150" spans="1:133" s="3" customFormat="1" x14ac:dyDescent="0.2">
      <c r="A150" s="3" t="s">
        <v>211</v>
      </c>
      <c r="B150" s="3" t="s">
        <v>236</v>
      </c>
      <c r="C150" s="3" t="s">
        <v>166</v>
      </c>
      <c r="D150" s="3" t="s">
        <v>109</v>
      </c>
      <c r="E150" s="3" t="s">
        <v>120</v>
      </c>
      <c r="F150" s="3">
        <v>5</v>
      </c>
      <c r="G150" s="3" t="s">
        <v>111</v>
      </c>
      <c r="L150" s="3" t="s">
        <v>111</v>
      </c>
      <c r="M150" s="3" t="s">
        <v>109</v>
      </c>
      <c r="N150" s="3" t="s">
        <v>109</v>
      </c>
      <c r="O150" s="3" t="s">
        <v>111</v>
      </c>
      <c r="P150" s="3" t="s">
        <v>109</v>
      </c>
      <c r="Q150" s="3" t="s">
        <v>109</v>
      </c>
      <c r="R150" s="3" t="s">
        <v>111</v>
      </c>
      <c r="S150" s="3" t="s">
        <v>109</v>
      </c>
      <c r="T150" s="3" t="s">
        <v>109</v>
      </c>
      <c r="U150" s="3" t="s">
        <v>111</v>
      </c>
      <c r="V150" s="3" t="s">
        <v>109</v>
      </c>
      <c r="W150" s="3" t="s">
        <v>111</v>
      </c>
      <c r="X150" s="3" t="s">
        <v>111</v>
      </c>
      <c r="Y150" s="3" t="s">
        <v>111</v>
      </c>
      <c r="Z150" s="3" t="s">
        <v>111</v>
      </c>
      <c r="AA150" s="3" t="s">
        <v>109</v>
      </c>
      <c r="AB150" s="3" t="s">
        <v>111</v>
      </c>
      <c r="AC150" s="3" t="s">
        <v>111</v>
      </c>
      <c r="AD150" s="3" t="s">
        <v>109</v>
      </c>
      <c r="AE150" s="3" t="s">
        <v>109</v>
      </c>
      <c r="AF150" s="3" t="s">
        <v>109</v>
      </c>
      <c r="AG150" s="3" t="s">
        <v>111</v>
      </c>
      <c r="AH150" s="3" t="s">
        <v>111</v>
      </c>
      <c r="AI150" s="3" t="s">
        <v>111</v>
      </c>
      <c r="AJ150" s="3" t="s">
        <v>109</v>
      </c>
      <c r="AK150" s="3">
        <v>80</v>
      </c>
      <c r="AL150" s="3">
        <v>90</v>
      </c>
      <c r="AM150" s="3">
        <v>90</v>
      </c>
      <c r="AN150" s="3" t="s">
        <v>109</v>
      </c>
    </row>
    <row r="151" spans="1:133" s="3" customFormat="1" x14ac:dyDescent="0.2">
      <c r="A151" s="3" t="s">
        <v>216</v>
      </c>
      <c r="B151" s="3" t="s">
        <v>238</v>
      </c>
      <c r="C151" s="3" t="s">
        <v>166</v>
      </c>
      <c r="D151" s="3" t="s">
        <v>109</v>
      </c>
      <c r="E151" s="3" t="s">
        <v>116</v>
      </c>
      <c r="G151" s="3" t="s">
        <v>111</v>
      </c>
      <c r="L151" s="3" t="s">
        <v>109</v>
      </c>
      <c r="M151" s="3" t="s">
        <v>109</v>
      </c>
      <c r="N151" s="3" t="s">
        <v>109</v>
      </c>
      <c r="O151" s="3" t="s">
        <v>111</v>
      </c>
      <c r="P151" s="3" t="s">
        <v>109</v>
      </c>
      <c r="Q151" s="3" t="s">
        <v>109</v>
      </c>
      <c r="R151" s="3" t="s">
        <v>111</v>
      </c>
      <c r="S151" s="3" t="s">
        <v>109</v>
      </c>
      <c r="T151" s="3" t="s">
        <v>111</v>
      </c>
      <c r="U151" s="3" t="s">
        <v>111</v>
      </c>
      <c r="V151" s="3" t="s">
        <v>109</v>
      </c>
      <c r="W151" s="3" t="s">
        <v>111</v>
      </c>
      <c r="X151" s="3" t="s">
        <v>111</v>
      </c>
      <c r="Y151" s="3" t="s">
        <v>111</v>
      </c>
      <c r="Z151" s="3" t="s">
        <v>111</v>
      </c>
      <c r="AA151" s="3" t="s">
        <v>109</v>
      </c>
      <c r="AB151" s="3" t="s">
        <v>111</v>
      </c>
      <c r="AC151" s="3" t="s">
        <v>111</v>
      </c>
      <c r="AD151" s="3" t="s">
        <v>109</v>
      </c>
      <c r="AE151" s="3" t="s">
        <v>109</v>
      </c>
      <c r="AF151" s="3" t="s">
        <v>111</v>
      </c>
      <c r="AG151" s="3" t="s">
        <v>111</v>
      </c>
      <c r="AH151" s="3" t="s">
        <v>111</v>
      </c>
      <c r="AI151" s="3" t="s">
        <v>111</v>
      </c>
      <c r="AJ151" s="3" t="s">
        <v>109</v>
      </c>
      <c r="AK151" s="3">
        <v>95</v>
      </c>
      <c r="AL151" s="3">
        <v>5</v>
      </c>
      <c r="AM151" s="3">
        <v>95</v>
      </c>
      <c r="AN151" s="3" t="s">
        <v>109</v>
      </c>
      <c r="AO151" s="3">
        <v>10</v>
      </c>
      <c r="AP151" s="3">
        <v>1</v>
      </c>
      <c r="AQ151" s="3">
        <v>10</v>
      </c>
      <c r="AR151" s="3">
        <v>20</v>
      </c>
      <c r="AS151" s="3">
        <v>20</v>
      </c>
      <c r="AT151" s="3">
        <v>50</v>
      </c>
      <c r="AY151" s="3">
        <v>100</v>
      </c>
      <c r="AZ151" s="3">
        <v>0</v>
      </c>
      <c r="BA151" s="3">
        <v>1</v>
      </c>
      <c r="BB151" s="3">
        <v>1</v>
      </c>
      <c r="BC151" s="3">
        <v>20</v>
      </c>
      <c r="BE151" s="3">
        <v>10</v>
      </c>
      <c r="BG151" s="3">
        <v>5</v>
      </c>
      <c r="BI151" s="3">
        <v>5</v>
      </c>
      <c r="BK151" s="3">
        <v>5</v>
      </c>
      <c r="BQ151" s="3">
        <v>5</v>
      </c>
      <c r="BU151" s="3">
        <v>8</v>
      </c>
      <c r="BV151" s="3">
        <v>8</v>
      </c>
      <c r="BW151" s="3">
        <v>5</v>
      </c>
      <c r="BX151" s="3">
        <v>1</v>
      </c>
      <c r="BY151" s="3">
        <v>7</v>
      </c>
      <c r="BZ151" s="3">
        <v>8</v>
      </c>
      <c r="CA151" s="3">
        <v>7</v>
      </c>
      <c r="CB151" s="3">
        <v>8</v>
      </c>
      <c r="CC151" s="3" t="s">
        <v>124</v>
      </c>
      <c r="CD151" s="3" t="s">
        <v>119</v>
      </c>
      <c r="CN151" s="3" t="s">
        <v>119</v>
      </c>
    </row>
    <row r="152" spans="1:133" s="3" customFormat="1" x14ac:dyDescent="0.2">
      <c r="A152" s="3" t="s">
        <v>230</v>
      </c>
      <c r="B152" s="3" t="s">
        <v>215</v>
      </c>
      <c r="C152" s="3" t="s">
        <v>166</v>
      </c>
      <c r="D152" s="3" t="s">
        <v>167</v>
      </c>
      <c r="E152" s="3" t="s">
        <v>122</v>
      </c>
      <c r="F152" s="13">
        <v>3.7</v>
      </c>
      <c r="G152" s="3" t="s">
        <v>111</v>
      </c>
      <c r="L152" s="3" t="s">
        <v>109</v>
      </c>
      <c r="M152" s="3" t="s">
        <v>109</v>
      </c>
      <c r="N152" s="3" t="s">
        <v>109</v>
      </c>
      <c r="O152" s="3" t="s">
        <v>111</v>
      </c>
      <c r="P152" s="3" t="s">
        <v>109</v>
      </c>
      <c r="Q152" s="3" t="s">
        <v>109</v>
      </c>
      <c r="R152" s="3" t="s">
        <v>111</v>
      </c>
      <c r="S152" s="3" t="s">
        <v>109</v>
      </c>
      <c r="T152" s="3" t="s">
        <v>109</v>
      </c>
      <c r="U152" s="3" t="s">
        <v>111</v>
      </c>
      <c r="V152" s="3" t="s">
        <v>109</v>
      </c>
      <c r="W152" s="3" t="s">
        <v>111</v>
      </c>
      <c r="X152" s="3" t="s">
        <v>111</v>
      </c>
      <c r="Y152" s="3" t="s">
        <v>109</v>
      </c>
      <c r="Z152" s="3" t="s">
        <v>111</v>
      </c>
      <c r="AA152" s="3" t="s">
        <v>111</v>
      </c>
      <c r="AB152" s="3" t="s">
        <v>109</v>
      </c>
      <c r="AC152" s="3" t="s">
        <v>111</v>
      </c>
      <c r="AD152" s="3" t="s">
        <v>111</v>
      </c>
      <c r="AE152" s="3" t="s">
        <v>111</v>
      </c>
      <c r="AF152" s="3" t="s">
        <v>109</v>
      </c>
      <c r="AG152" s="3" t="s">
        <v>111</v>
      </c>
      <c r="AH152" s="3" t="s">
        <v>111</v>
      </c>
      <c r="AI152" s="3" t="s">
        <v>109</v>
      </c>
      <c r="AJ152" s="3" t="s">
        <v>111</v>
      </c>
      <c r="AK152" s="3">
        <v>42</v>
      </c>
      <c r="AL152" s="3">
        <v>60</v>
      </c>
      <c r="AM152" s="3">
        <v>35</v>
      </c>
      <c r="AN152" s="3" t="s">
        <v>109</v>
      </c>
      <c r="AO152" s="3">
        <v>25</v>
      </c>
      <c r="AP152" s="3">
        <v>25</v>
      </c>
      <c r="AQ152" s="3">
        <v>5</v>
      </c>
      <c r="AR152" s="3">
        <v>90</v>
      </c>
      <c r="AS152" s="3">
        <v>4</v>
      </c>
      <c r="AT152" s="3">
        <v>1</v>
      </c>
      <c r="AU152" s="3">
        <v>10</v>
      </c>
      <c r="AV152" s="3">
        <v>70</v>
      </c>
      <c r="AW152" s="3">
        <v>18</v>
      </c>
      <c r="AX152" s="3">
        <v>2</v>
      </c>
      <c r="AZ152" s="3">
        <v>75</v>
      </c>
      <c r="BA152" s="3">
        <v>25</v>
      </c>
      <c r="BB152" s="3">
        <v>25</v>
      </c>
      <c r="BL152" s="3">
        <v>2</v>
      </c>
      <c r="BP152" s="3">
        <v>22</v>
      </c>
      <c r="BU152" s="3">
        <v>8</v>
      </c>
      <c r="BV152" s="3">
        <v>10</v>
      </c>
      <c r="BW152" s="3">
        <v>10</v>
      </c>
      <c r="BX152" s="3">
        <v>5</v>
      </c>
      <c r="BY152" s="3">
        <v>10</v>
      </c>
      <c r="BZ152" s="3">
        <v>8</v>
      </c>
      <c r="CA152" s="3">
        <v>1</v>
      </c>
      <c r="CB152" s="3">
        <v>5</v>
      </c>
      <c r="CD152" s="3" t="s">
        <v>109</v>
      </c>
      <c r="CE152" s="3" t="s">
        <v>109</v>
      </c>
      <c r="CF152" s="3" t="s">
        <v>111</v>
      </c>
      <c r="CG152" s="3" t="s">
        <v>111</v>
      </c>
      <c r="CH152" s="3" t="s">
        <v>111</v>
      </c>
      <c r="CI152" s="3" t="s">
        <v>109</v>
      </c>
      <c r="CJ152" s="3" t="s">
        <v>111</v>
      </c>
      <c r="CK152" s="3" t="s">
        <v>111</v>
      </c>
      <c r="CL152" s="3" t="s">
        <v>111</v>
      </c>
      <c r="CN152" s="3" t="s">
        <v>117</v>
      </c>
      <c r="CO152" s="3">
        <v>3500</v>
      </c>
      <c r="CP152" s="3">
        <v>0</v>
      </c>
      <c r="CQ152" s="3">
        <v>2016</v>
      </c>
      <c r="CR152" s="3">
        <v>2016</v>
      </c>
      <c r="CS152" s="3">
        <v>20</v>
      </c>
      <c r="CT152" s="3">
        <v>80</v>
      </c>
      <c r="CU152" s="3">
        <v>100</v>
      </c>
      <c r="CV152" s="3">
        <v>0</v>
      </c>
      <c r="CW152" s="3">
        <v>3</v>
      </c>
      <c r="CX152" s="3">
        <v>5</v>
      </c>
      <c r="CY152" s="3">
        <v>2</v>
      </c>
      <c r="CZ152" s="3">
        <v>0</v>
      </c>
      <c r="DA152" s="3">
        <v>75</v>
      </c>
      <c r="DB152" s="3">
        <v>0</v>
      </c>
      <c r="DC152" s="3">
        <v>15</v>
      </c>
      <c r="DD152" s="3">
        <v>0</v>
      </c>
      <c r="DE152" s="3">
        <v>0</v>
      </c>
      <c r="DG152" s="3">
        <v>30</v>
      </c>
      <c r="DH152" s="3">
        <v>0</v>
      </c>
      <c r="DI152" s="3">
        <v>0</v>
      </c>
      <c r="DJ152" s="3">
        <v>0</v>
      </c>
      <c r="DK152" s="3">
        <v>0</v>
      </c>
      <c r="DL152" s="3">
        <v>0</v>
      </c>
      <c r="DM152" s="3">
        <v>0</v>
      </c>
      <c r="DN152" s="3">
        <v>0</v>
      </c>
      <c r="DO152" s="3">
        <v>0</v>
      </c>
      <c r="DQ152" s="3">
        <v>0.5</v>
      </c>
      <c r="DR152" s="3">
        <v>0.4</v>
      </c>
    </row>
    <row r="154" spans="1:133" s="12" customFormat="1" ht="6.6" customHeight="1" x14ac:dyDescent="0.2"/>
    <row r="156" spans="1:133" x14ac:dyDescent="0.2">
      <c r="A156" s="2" t="s">
        <v>221</v>
      </c>
      <c r="B156" s="2" t="s">
        <v>237</v>
      </c>
      <c r="C156" s="2" t="s">
        <v>166</v>
      </c>
      <c r="D156" s="2" t="s">
        <v>111</v>
      </c>
    </row>
    <row r="157" spans="1:133" x14ac:dyDescent="0.2">
      <c r="A157" s="2" t="s">
        <v>221</v>
      </c>
      <c r="B157" s="2" t="s">
        <v>237</v>
      </c>
      <c r="C157" s="2" t="s">
        <v>166</v>
      </c>
      <c r="D157" s="2" t="s">
        <v>111</v>
      </c>
    </row>
    <row r="158" spans="1:133" s="3" customFormat="1" x14ac:dyDescent="0.2">
      <c r="A158" s="2" t="s">
        <v>221</v>
      </c>
      <c r="B158" s="2" t="s">
        <v>237</v>
      </c>
      <c r="C158" s="2" t="s">
        <v>166</v>
      </c>
      <c r="D158" s="2" t="s">
        <v>111</v>
      </c>
      <c r="E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I158" s="2"/>
      <c r="AJ158" s="2"/>
      <c r="AK158" s="2"/>
      <c r="AL158" s="2"/>
      <c r="AM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E158" s="2"/>
      <c r="CF158" s="2"/>
      <c r="CG158" s="2"/>
      <c r="CH158" s="2"/>
      <c r="CJ158" s="2"/>
      <c r="CK158" s="2"/>
      <c r="CL158" s="2"/>
      <c r="CM158" s="2"/>
      <c r="CN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row>
    <row r="159" spans="1:133" x14ac:dyDescent="0.2">
      <c r="A159" s="2" t="s">
        <v>221</v>
      </c>
      <c r="B159" s="2" t="s">
        <v>237</v>
      </c>
      <c r="C159" s="2" t="s">
        <v>166</v>
      </c>
      <c r="D159" s="2" t="s">
        <v>111</v>
      </c>
    </row>
    <row r="160" spans="1:133" s="3" customFormat="1" x14ac:dyDescent="0.2">
      <c r="A160" s="8" t="s">
        <v>224</v>
      </c>
      <c r="B160" s="2" t="s">
        <v>238</v>
      </c>
      <c r="C160" s="2" t="s">
        <v>166</v>
      </c>
      <c r="D160" s="2" t="s">
        <v>111</v>
      </c>
      <c r="E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I160" s="2"/>
      <c r="AJ160" s="2"/>
      <c r="AK160" s="2"/>
      <c r="AL160" s="2"/>
      <c r="AM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E160" s="2"/>
      <c r="CF160" s="2"/>
      <c r="CG160" s="2"/>
      <c r="CH160" s="2"/>
      <c r="CJ160" s="2"/>
      <c r="CK160" s="2"/>
      <c r="CL160" s="2"/>
      <c r="CM160" s="2"/>
      <c r="CN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row>
    <row r="161" spans="1:124" s="3" customFormat="1" x14ac:dyDescent="0.2">
      <c r="A161" s="8" t="s">
        <v>226</v>
      </c>
      <c r="B161" s="2" t="s">
        <v>238</v>
      </c>
      <c r="C161" s="2" t="s">
        <v>166</v>
      </c>
      <c r="D161" s="2" t="s">
        <v>111</v>
      </c>
      <c r="E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I161" s="2"/>
      <c r="AJ161" s="2"/>
      <c r="AK161" s="2"/>
      <c r="AL161" s="2"/>
      <c r="AM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E161" s="2"/>
      <c r="CF161" s="2"/>
      <c r="CG161" s="2"/>
      <c r="CH161" s="2"/>
      <c r="CJ161" s="2"/>
      <c r="CK161" s="2"/>
      <c r="CL161" s="2"/>
      <c r="CM161" s="2"/>
      <c r="CN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row>
    <row r="162" spans="1:124" s="3" customFormat="1" x14ac:dyDescent="0.2">
      <c r="A162" s="2" t="s">
        <v>233</v>
      </c>
      <c r="B162" s="2" t="s">
        <v>215</v>
      </c>
      <c r="C162" s="2" t="s">
        <v>166</v>
      </c>
      <c r="D162" s="2" t="s">
        <v>111</v>
      </c>
      <c r="E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I162" s="2"/>
      <c r="AJ162" s="2"/>
      <c r="AK162" s="2"/>
      <c r="AL162" s="2"/>
      <c r="AM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E162" s="2"/>
      <c r="CF162" s="2"/>
      <c r="CG162" s="2"/>
      <c r="CH162" s="2"/>
      <c r="CJ162" s="2"/>
      <c r="CK162" s="2"/>
      <c r="CL162" s="2"/>
      <c r="CM162" s="2"/>
      <c r="CN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row>
    <row r="163" spans="1:124" x14ac:dyDescent="0.2">
      <c r="A163" s="2" t="s">
        <v>220</v>
      </c>
      <c r="B163" s="2" t="s">
        <v>215</v>
      </c>
      <c r="C163" s="2" t="s">
        <v>166</v>
      </c>
      <c r="D163" s="2" t="s">
        <v>111</v>
      </c>
    </row>
  </sheetData>
  <autoFilter ref="A4:EC152"/>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0"/>
  <sheetViews>
    <sheetView workbookViewId="0"/>
  </sheetViews>
  <sheetFormatPr defaultRowHeight="15" x14ac:dyDescent="0.25"/>
  <cols>
    <col min="4" max="4" width="8.140625" customWidth="1"/>
    <col min="5" max="5" width="7" customWidth="1"/>
    <col min="13" max="13" width="17.7109375" bestFit="1" customWidth="1"/>
  </cols>
  <sheetData>
    <row r="1" spans="1:17" x14ac:dyDescent="0.25">
      <c r="A1" s="10" t="s">
        <v>370</v>
      </c>
    </row>
    <row r="3" spans="1:17" x14ac:dyDescent="0.25">
      <c r="A3" s="32"/>
      <c r="H3">
        <v>2015</v>
      </c>
      <c r="K3">
        <v>2013</v>
      </c>
      <c r="L3" s="19"/>
      <c r="M3" s="19"/>
      <c r="N3" s="28">
        <v>2012</v>
      </c>
      <c r="O3" s="23"/>
      <c r="Q3" s="23"/>
    </row>
    <row r="4" spans="1:17" x14ac:dyDescent="0.25">
      <c r="A4" s="3" t="s">
        <v>236</v>
      </c>
      <c r="B4" s="3" t="s">
        <v>111</v>
      </c>
      <c r="D4" s="19" t="s">
        <v>297</v>
      </c>
      <c r="H4" s="19" t="s">
        <v>296</v>
      </c>
      <c r="I4" s="19"/>
      <c r="K4" s="19" t="s">
        <v>298</v>
      </c>
      <c r="L4" s="19"/>
      <c r="M4" s="19"/>
      <c r="N4" s="23" t="s">
        <v>298</v>
      </c>
      <c r="O4" s="23"/>
      <c r="Q4" s="23"/>
    </row>
    <row r="5" spans="1:17" x14ac:dyDescent="0.25">
      <c r="A5" s="3" t="s">
        <v>238</v>
      </c>
      <c r="B5" s="3" t="s">
        <v>111</v>
      </c>
      <c r="D5" s="19" t="s">
        <v>239</v>
      </c>
      <c r="E5">
        <v>110</v>
      </c>
      <c r="F5" s="36">
        <f>110/135</f>
        <v>0.81481481481481477</v>
      </c>
      <c r="H5" s="19" t="s">
        <v>239</v>
      </c>
      <c r="I5" s="36">
        <f>114/121</f>
        <v>0.94214876033057848</v>
      </c>
      <c r="K5" s="19" t="s">
        <v>239</v>
      </c>
      <c r="L5" s="24">
        <v>0.91</v>
      </c>
      <c r="N5" s="37" t="s">
        <v>239</v>
      </c>
      <c r="O5" s="30">
        <v>0.88</v>
      </c>
    </row>
    <row r="6" spans="1:17" x14ac:dyDescent="0.25">
      <c r="A6" s="3" t="s">
        <v>238</v>
      </c>
      <c r="B6" s="3" t="s">
        <v>111</v>
      </c>
      <c r="D6" s="19" t="s">
        <v>240</v>
      </c>
      <c r="E6">
        <v>25</v>
      </c>
      <c r="F6" s="36">
        <f>25/135</f>
        <v>0.18518518518518517</v>
      </c>
      <c r="H6" s="19" t="s">
        <v>240</v>
      </c>
      <c r="I6" s="36">
        <f>7/121</f>
        <v>5.7851239669421489E-2</v>
      </c>
      <c r="K6" s="19" t="s">
        <v>240</v>
      </c>
      <c r="L6" s="24">
        <v>0.09</v>
      </c>
      <c r="N6" s="37" t="s">
        <v>240</v>
      </c>
      <c r="O6" s="30">
        <v>0.12</v>
      </c>
    </row>
    <row r="7" spans="1:17" x14ac:dyDescent="0.25">
      <c r="A7" s="3" t="s">
        <v>238</v>
      </c>
      <c r="B7" s="3" t="s">
        <v>111</v>
      </c>
      <c r="F7" s="2"/>
      <c r="G7" s="2"/>
      <c r="K7" s="19"/>
      <c r="L7" s="19"/>
      <c r="M7" s="19"/>
      <c r="N7" s="19"/>
      <c r="O7" s="23"/>
      <c r="P7" s="23"/>
      <c r="Q7" s="23"/>
    </row>
    <row r="8" spans="1:17" x14ac:dyDescent="0.25">
      <c r="A8" s="3" t="s">
        <v>238</v>
      </c>
      <c r="B8" s="3" t="s">
        <v>111</v>
      </c>
      <c r="F8" s="2"/>
      <c r="G8" s="2"/>
    </row>
    <row r="9" spans="1:17" x14ac:dyDescent="0.25">
      <c r="A9" s="3" t="s">
        <v>238</v>
      </c>
      <c r="B9" s="3" t="s">
        <v>111</v>
      </c>
      <c r="F9" s="2"/>
      <c r="G9" s="2"/>
      <c r="M9" s="20" t="s">
        <v>299</v>
      </c>
    </row>
    <row r="10" spans="1:17" x14ac:dyDescent="0.25">
      <c r="A10" s="3" t="s">
        <v>238</v>
      </c>
      <c r="B10" s="3" t="s">
        <v>111</v>
      </c>
      <c r="F10" s="2"/>
      <c r="G10" s="2"/>
      <c r="N10" s="19" t="s">
        <v>239</v>
      </c>
      <c r="O10" s="19" t="s">
        <v>240</v>
      </c>
    </row>
    <row r="11" spans="1:17" x14ac:dyDescent="0.25">
      <c r="A11" s="3" t="s">
        <v>238</v>
      </c>
      <c r="B11" s="3" t="s">
        <v>111</v>
      </c>
      <c r="F11" s="2"/>
      <c r="G11" s="2"/>
      <c r="M11" s="19" t="s">
        <v>280</v>
      </c>
      <c r="N11">
        <v>34</v>
      </c>
      <c r="O11">
        <v>1</v>
      </c>
    </row>
    <row r="12" spans="1:17" x14ac:dyDescent="0.25">
      <c r="A12" s="3" t="s">
        <v>238</v>
      </c>
      <c r="B12" s="3" t="s">
        <v>111</v>
      </c>
      <c r="F12" s="2"/>
      <c r="G12" s="2"/>
      <c r="M12" s="19" t="s">
        <v>274</v>
      </c>
      <c r="N12">
        <v>5</v>
      </c>
      <c r="O12">
        <v>0</v>
      </c>
    </row>
    <row r="13" spans="1:17" x14ac:dyDescent="0.25">
      <c r="A13" s="3" t="s">
        <v>238</v>
      </c>
      <c r="B13" s="3" t="s">
        <v>111</v>
      </c>
      <c r="F13" s="2"/>
      <c r="G13" s="2"/>
      <c r="M13" s="19" t="s">
        <v>281</v>
      </c>
      <c r="N13">
        <v>58</v>
      </c>
      <c r="O13">
        <v>23</v>
      </c>
    </row>
    <row r="14" spans="1:17" x14ac:dyDescent="0.25">
      <c r="A14" s="3" t="s">
        <v>238</v>
      </c>
      <c r="B14" s="3" t="s">
        <v>111</v>
      </c>
      <c r="F14" s="2"/>
      <c r="G14" s="2"/>
      <c r="M14" s="19" t="s">
        <v>300</v>
      </c>
      <c r="N14">
        <v>13</v>
      </c>
      <c r="O14">
        <v>1</v>
      </c>
    </row>
    <row r="15" spans="1:17" x14ac:dyDescent="0.25">
      <c r="A15" s="3" t="s">
        <v>238</v>
      </c>
      <c r="B15" s="3" t="s">
        <v>111</v>
      </c>
      <c r="F15" s="2"/>
      <c r="G15" s="2"/>
    </row>
    <row r="16" spans="1:17" x14ac:dyDescent="0.25">
      <c r="A16" s="3" t="s">
        <v>238</v>
      </c>
      <c r="B16" s="3" t="s">
        <v>111</v>
      </c>
      <c r="F16" s="2"/>
      <c r="G16" s="2"/>
    </row>
    <row r="17" spans="1:15" x14ac:dyDescent="0.25">
      <c r="A17" s="3" t="s">
        <v>238</v>
      </c>
      <c r="B17" s="3" t="s">
        <v>111</v>
      </c>
      <c r="F17" s="2"/>
      <c r="G17" s="2"/>
    </row>
    <row r="18" spans="1:15" x14ac:dyDescent="0.25">
      <c r="A18" s="3" t="s">
        <v>238</v>
      </c>
      <c r="B18" s="3" t="s">
        <v>111</v>
      </c>
      <c r="F18" s="2"/>
      <c r="G18" s="2"/>
    </row>
    <row r="19" spans="1:15" x14ac:dyDescent="0.25">
      <c r="A19" s="3" t="s">
        <v>238</v>
      </c>
      <c r="B19" s="3" t="s">
        <v>111</v>
      </c>
      <c r="F19" s="2"/>
      <c r="G19" s="2"/>
      <c r="M19" t="s">
        <v>564</v>
      </c>
    </row>
    <row r="20" spans="1:15" x14ac:dyDescent="0.25">
      <c r="A20" s="3" t="s">
        <v>238</v>
      </c>
      <c r="B20" s="3" t="s">
        <v>111</v>
      </c>
      <c r="F20" s="2"/>
      <c r="G20" s="2"/>
      <c r="N20" t="s">
        <v>566</v>
      </c>
      <c r="O20" t="s">
        <v>565</v>
      </c>
    </row>
    <row r="21" spans="1:15" x14ac:dyDescent="0.25">
      <c r="A21" s="3" t="s">
        <v>238</v>
      </c>
      <c r="B21" s="3" t="s">
        <v>111</v>
      </c>
      <c r="F21" s="2"/>
      <c r="G21" s="2"/>
      <c r="L21" s="19"/>
      <c r="M21" s="19" t="s">
        <v>470</v>
      </c>
      <c r="N21" s="24">
        <f>76/132</f>
        <v>0.5757575757575758</v>
      </c>
      <c r="O21" s="24">
        <f>110/135</f>
        <v>0.81481481481481477</v>
      </c>
    </row>
    <row r="22" spans="1:15" x14ac:dyDescent="0.25">
      <c r="A22" s="3" t="s">
        <v>238</v>
      </c>
      <c r="B22" s="3" t="s">
        <v>111</v>
      </c>
      <c r="F22" s="2"/>
      <c r="G22" s="3"/>
      <c r="M22" s="19" t="s">
        <v>281</v>
      </c>
      <c r="N22" s="24">
        <f>44/78</f>
        <v>0.5641025641025641</v>
      </c>
      <c r="O22" s="24">
        <f>58/81</f>
        <v>0.71604938271604934</v>
      </c>
    </row>
    <row r="23" spans="1:15" x14ac:dyDescent="0.25">
      <c r="A23" s="3" t="s">
        <v>238</v>
      </c>
      <c r="B23" s="3" t="s">
        <v>111</v>
      </c>
      <c r="F23" s="2"/>
      <c r="G23" s="3"/>
      <c r="M23" s="19" t="s">
        <v>300</v>
      </c>
      <c r="N23" s="24">
        <f>9/12</f>
        <v>0.75</v>
      </c>
      <c r="O23" s="24">
        <f>13/14</f>
        <v>0.9285714285714286</v>
      </c>
    </row>
    <row r="24" spans="1:15" x14ac:dyDescent="0.25">
      <c r="A24" s="3" t="s">
        <v>238</v>
      </c>
      <c r="B24" s="3" t="s">
        <v>111</v>
      </c>
      <c r="F24" s="2"/>
      <c r="G24" s="2"/>
      <c r="M24" s="19" t="s">
        <v>280</v>
      </c>
      <c r="N24" s="24">
        <f>20/37</f>
        <v>0.54054054054054057</v>
      </c>
      <c r="O24" s="24">
        <f>34/35</f>
        <v>0.97142857142857142</v>
      </c>
    </row>
    <row r="25" spans="1:15" x14ac:dyDescent="0.25">
      <c r="A25" s="3" t="s">
        <v>238</v>
      </c>
      <c r="B25" s="3" t="s">
        <v>111</v>
      </c>
      <c r="F25" s="2"/>
      <c r="G25" s="3"/>
      <c r="M25" s="19" t="s">
        <v>274</v>
      </c>
      <c r="N25" s="24">
        <f>3/5</f>
        <v>0.6</v>
      </c>
      <c r="O25" s="24">
        <f>5/5</f>
        <v>1</v>
      </c>
    </row>
    <row r="26" spans="1:15" x14ac:dyDescent="0.25">
      <c r="A26" s="3" t="s">
        <v>238</v>
      </c>
      <c r="B26" s="3" t="s">
        <v>111</v>
      </c>
      <c r="F26" s="2"/>
      <c r="G26" s="3"/>
    </row>
    <row r="27" spans="1:15" x14ac:dyDescent="0.25">
      <c r="A27" s="3" t="s">
        <v>238</v>
      </c>
      <c r="B27" s="3" t="s">
        <v>111</v>
      </c>
      <c r="F27" s="2"/>
      <c r="G27" s="2"/>
    </row>
    <row r="28" spans="1:15" x14ac:dyDescent="0.25">
      <c r="A28" s="3" t="s">
        <v>215</v>
      </c>
      <c r="B28" s="3" t="s">
        <v>111</v>
      </c>
      <c r="F28" s="2"/>
      <c r="G28" s="2"/>
    </row>
    <row r="29" spans="1:15" x14ac:dyDescent="0.25">
      <c r="A29" s="3" t="s">
        <v>236</v>
      </c>
      <c r="B29" s="3" t="s">
        <v>109</v>
      </c>
      <c r="F29" s="2"/>
      <c r="G29" s="2"/>
    </row>
    <row r="30" spans="1:15" x14ac:dyDescent="0.25">
      <c r="A30" s="3" t="s">
        <v>236</v>
      </c>
      <c r="B30" s="3" t="s">
        <v>109</v>
      </c>
      <c r="F30" s="2"/>
      <c r="G30" s="2"/>
    </row>
    <row r="31" spans="1:15" x14ac:dyDescent="0.25">
      <c r="A31" s="3" t="s">
        <v>236</v>
      </c>
      <c r="B31" s="3" t="s">
        <v>109</v>
      </c>
      <c r="F31" s="2"/>
      <c r="G31" s="2"/>
    </row>
    <row r="32" spans="1:15" x14ac:dyDescent="0.25">
      <c r="A32" s="3" t="s">
        <v>236</v>
      </c>
      <c r="B32" s="3" t="s">
        <v>109</v>
      </c>
      <c r="F32" s="2"/>
      <c r="G32" s="2"/>
    </row>
    <row r="33" spans="1:7" x14ac:dyDescent="0.25">
      <c r="A33" s="3" t="s">
        <v>236</v>
      </c>
      <c r="B33" s="3" t="s">
        <v>109</v>
      </c>
      <c r="F33" s="2"/>
      <c r="G33" s="2"/>
    </row>
    <row r="34" spans="1:7" x14ac:dyDescent="0.25">
      <c r="A34" s="3" t="s">
        <v>236</v>
      </c>
      <c r="B34" s="3" t="s">
        <v>109</v>
      </c>
      <c r="F34" s="2"/>
      <c r="G34" s="2"/>
    </row>
    <row r="35" spans="1:7" x14ac:dyDescent="0.25">
      <c r="A35" s="3" t="s">
        <v>236</v>
      </c>
      <c r="B35" s="3" t="s">
        <v>109</v>
      </c>
      <c r="F35" s="2"/>
      <c r="G35" s="2"/>
    </row>
    <row r="36" spans="1:7" x14ac:dyDescent="0.25">
      <c r="A36" s="3" t="s">
        <v>236</v>
      </c>
      <c r="B36" s="3" t="s">
        <v>109</v>
      </c>
      <c r="F36" s="3"/>
      <c r="G36" s="3"/>
    </row>
    <row r="37" spans="1:7" x14ac:dyDescent="0.25">
      <c r="A37" s="3" t="s">
        <v>236</v>
      </c>
      <c r="B37" s="3" t="s">
        <v>109</v>
      </c>
      <c r="F37" s="2"/>
      <c r="G37" s="2"/>
    </row>
    <row r="38" spans="1:7" x14ac:dyDescent="0.25">
      <c r="A38" s="3" t="s">
        <v>236</v>
      </c>
      <c r="B38" s="3" t="s">
        <v>109</v>
      </c>
      <c r="F38" s="2"/>
      <c r="G38" s="2"/>
    </row>
    <row r="39" spans="1:7" x14ac:dyDescent="0.25">
      <c r="A39" s="3" t="s">
        <v>236</v>
      </c>
      <c r="B39" s="3" t="s">
        <v>109</v>
      </c>
      <c r="F39" s="2"/>
      <c r="G39" s="2"/>
    </row>
    <row r="40" spans="1:7" x14ac:dyDescent="0.25">
      <c r="A40" s="3" t="s">
        <v>236</v>
      </c>
      <c r="B40" s="3" t="s">
        <v>109</v>
      </c>
      <c r="F40" s="2"/>
      <c r="G40" s="2"/>
    </row>
    <row r="41" spans="1:7" x14ac:dyDescent="0.25">
      <c r="A41" s="3" t="s">
        <v>236</v>
      </c>
      <c r="B41" s="3" t="s">
        <v>109</v>
      </c>
      <c r="F41" s="2"/>
      <c r="G41" s="2"/>
    </row>
    <row r="42" spans="1:7" x14ac:dyDescent="0.25">
      <c r="A42" s="3" t="s">
        <v>236</v>
      </c>
      <c r="B42" s="3" t="s">
        <v>109</v>
      </c>
      <c r="F42" s="2"/>
      <c r="G42" s="2"/>
    </row>
    <row r="43" spans="1:7" x14ac:dyDescent="0.25">
      <c r="A43" s="3" t="s">
        <v>236</v>
      </c>
      <c r="B43" s="3" t="s">
        <v>109</v>
      </c>
      <c r="F43" s="2"/>
      <c r="G43" s="2"/>
    </row>
    <row r="44" spans="1:7" x14ac:dyDescent="0.25">
      <c r="A44" s="3" t="s">
        <v>236</v>
      </c>
      <c r="B44" s="3" t="s">
        <v>109</v>
      </c>
      <c r="F44" s="2"/>
      <c r="G44" s="2"/>
    </row>
    <row r="45" spans="1:7" x14ac:dyDescent="0.25">
      <c r="A45" s="3" t="s">
        <v>236</v>
      </c>
      <c r="B45" s="3" t="s">
        <v>109</v>
      </c>
      <c r="F45" s="2"/>
      <c r="G45" s="2"/>
    </row>
    <row r="46" spans="1:7" x14ac:dyDescent="0.25">
      <c r="A46" s="3" t="s">
        <v>236</v>
      </c>
      <c r="B46" s="3" t="s">
        <v>109</v>
      </c>
      <c r="F46" s="2"/>
      <c r="G46" s="2"/>
    </row>
    <row r="47" spans="1:7" x14ac:dyDescent="0.25">
      <c r="A47" s="3" t="s">
        <v>236</v>
      </c>
      <c r="B47" s="3" t="s">
        <v>109</v>
      </c>
      <c r="F47" s="2"/>
      <c r="G47" s="2"/>
    </row>
    <row r="48" spans="1:7" x14ac:dyDescent="0.25">
      <c r="A48" s="3" t="s">
        <v>236</v>
      </c>
      <c r="B48" s="3" t="s">
        <v>109</v>
      </c>
      <c r="F48" s="2"/>
      <c r="G48" s="2"/>
    </row>
    <row r="49" spans="1:7" x14ac:dyDescent="0.25">
      <c r="A49" s="3" t="s">
        <v>236</v>
      </c>
      <c r="B49" s="3" t="s">
        <v>109</v>
      </c>
      <c r="F49" s="2"/>
      <c r="G49" s="2"/>
    </row>
    <row r="50" spans="1:7" x14ac:dyDescent="0.25">
      <c r="A50" s="3" t="s">
        <v>236</v>
      </c>
      <c r="B50" s="3" t="s">
        <v>109</v>
      </c>
      <c r="F50" s="2"/>
      <c r="G50" s="2"/>
    </row>
    <row r="51" spans="1:7" x14ac:dyDescent="0.25">
      <c r="A51" s="3" t="s">
        <v>236</v>
      </c>
      <c r="B51" s="3" t="s">
        <v>109</v>
      </c>
      <c r="F51" s="2"/>
      <c r="G51" s="2"/>
    </row>
    <row r="52" spans="1:7" x14ac:dyDescent="0.25">
      <c r="A52" s="3" t="s">
        <v>236</v>
      </c>
      <c r="B52" s="3" t="s">
        <v>109</v>
      </c>
      <c r="F52" s="2"/>
      <c r="G52" s="2"/>
    </row>
    <row r="53" spans="1:7" x14ac:dyDescent="0.25">
      <c r="A53" s="3" t="s">
        <v>236</v>
      </c>
      <c r="B53" s="3" t="s">
        <v>109</v>
      </c>
      <c r="F53" s="2"/>
      <c r="G53" s="2"/>
    </row>
    <row r="54" spans="1:7" x14ac:dyDescent="0.25">
      <c r="A54" s="3" t="s">
        <v>236</v>
      </c>
      <c r="B54" s="3" t="s">
        <v>109</v>
      </c>
      <c r="F54" s="2"/>
      <c r="G54" s="2"/>
    </row>
    <row r="55" spans="1:7" x14ac:dyDescent="0.25">
      <c r="A55" s="3" t="s">
        <v>236</v>
      </c>
      <c r="B55" s="3" t="s">
        <v>109</v>
      </c>
      <c r="F55" s="2"/>
      <c r="G55" s="2"/>
    </row>
    <row r="56" spans="1:7" x14ac:dyDescent="0.25">
      <c r="A56" s="3" t="s">
        <v>236</v>
      </c>
      <c r="B56" s="3" t="s">
        <v>109</v>
      </c>
      <c r="F56" s="2"/>
      <c r="G56" s="2"/>
    </row>
    <row r="57" spans="1:7" x14ac:dyDescent="0.25">
      <c r="A57" s="3" t="s">
        <v>236</v>
      </c>
      <c r="B57" s="3" t="s">
        <v>109</v>
      </c>
      <c r="F57" s="2"/>
      <c r="G57" s="2"/>
    </row>
    <row r="58" spans="1:7" x14ac:dyDescent="0.25">
      <c r="A58" s="3" t="s">
        <v>236</v>
      </c>
      <c r="B58" s="3" t="s">
        <v>109</v>
      </c>
      <c r="F58" s="2"/>
      <c r="G58" s="2"/>
    </row>
    <row r="59" spans="1:7" x14ac:dyDescent="0.25">
      <c r="A59" s="3" t="s">
        <v>236</v>
      </c>
      <c r="B59" s="3" t="s">
        <v>109</v>
      </c>
      <c r="F59" s="2"/>
      <c r="G59" s="2"/>
    </row>
    <row r="60" spans="1:7" x14ac:dyDescent="0.25">
      <c r="A60" s="3" t="s">
        <v>236</v>
      </c>
      <c r="B60" s="3" t="s">
        <v>109</v>
      </c>
      <c r="F60" s="2"/>
      <c r="G60" s="2"/>
    </row>
    <row r="61" spans="1:7" x14ac:dyDescent="0.25">
      <c r="A61" s="3" t="s">
        <v>236</v>
      </c>
      <c r="B61" s="3" t="s">
        <v>109</v>
      </c>
      <c r="F61" s="2"/>
      <c r="G61" s="2"/>
    </row>
    <row r="62" spans="1:7" x14ac:dyDescent="0.25">
      <c r="A62" s="3" t="s">
        <v>236</v>
      </c>
      <c r="B62" s="3" t="s">
        <v>109</v>
      </c>
      <c r="F62" s="2"/>
      <c r="G62" s="2"/>
    </row>
    <row r="63" spans="1:7" x14ac:dyDescent="0.25">
      <c r="A63" s="3" t="s">
        <v>237</v>
      </c>
      <c r="B63" s="3" t="s">
        <v>109</v>
      </c>
      <c r="F63" s="2"/>
      <c r="G63" s="2"/>
    </row>
    <row r="64" spans="1:7" x14ac:dyDescent="0.25">
      <c r="A64" s="3" t="s">
        <v>237</v>
      </c>
      <c r="B64" s="3" t="s">
        <v>109</v>
      </c>
      <c r="F64" s="2"/>
      <c r="G64" s="2"/>
    </row>
    <row r="65" spans="1:7" x14ac:dyDescent="0.25">
      <c r="A65" s="3" t="s">
        <v>237</v>
      </c>
      <c r="B65" s="3" t="s">
        <v>109</v>
      </c>
      <c r="F65" s="2"/>
      <c r="G65" s="2"/>
    </row>
    <row r="66" spans="1:7" x14ac:dyDescent="0.25">
      <c r="A66" s="3" t="s">
        <v>237</v>
      </c>
      <c r="B66" s="3" t="s">
        <v>109</v>
      </c>
      <c r="F66" s="2"/>
      <c r="G66" s="2"/>
    </row>
    <row r="67" spans="1:7" x14ac:dyDescent="0.25">
      <c r="A67" s="3" t="s">
        <v>237</v>
      </c>
      <c r="B67" s="3" t="s">
        <v>109</v>
      </c>
      <c r="F67" s="2"/>
      <c r="G67" s="2"/>
    </row>
    <row r="68" spans="1:7" x14ac:dyDescent="0.25">
      <c r="A68" s="3" t="s">
        <v>238</v>
      </c>
      <c r="B68" s="3" t="s">
        <v>109</v>
      </c>
      <c r="F68" s="2"/>
      <c r="G68" s="2"/>
    </row>
    <row r="69" spans="1:7" x14ac:dyDescent="0.25">
      <c r="A69" s="3" t="s">
        <v>238</v>
      </c>
      <c r="B69" s="3" t="s">
        <v>109</v>
      </c>
      <c r="F69" s="2"/>
      <c r="G69" s="2"/>
    </row>
    <row r="70" spans="1:7" x14ac:dyDescent="0.25">
      <c r="A70" s="3" t="s">
        <v>238</v>
      </c>
      <c r="B70" s="3" t="s">
        <v>109</v>
      </c>
      <c r="F70" s="2"/>
      <c r="G70" s="2"/>
    </row>
    <row r="71" spans="1:7" x14ac:dyDescent="0.25">
      <c r="A71" s="3" t="s">
        <v>238</v>
      </c>
      <c r="B71" s="3" t="s">
        <v>109</v>
      </c>
      <c r="F71" s="2"/>
      <c r="G71" s="2"/>
    </row>
    <row r="72" spans="1:7" x14ac:dyDescent="0.25">
      <c r="A72" s="3" t="s">
        <v>238</v>
      </c>
      <c r="B72" s="3" t="s">
        <v>109</v>
      </c>
      <c r="F72" s="2"/>
      <c r="G72" s="2"/>
    </row>
    <row r="73" spans="1:7" x14ac:dyDescent="0.25">
      <c r="A73" s="3" t="s">
        <v>238</v>
      </c>
      <c r="B73" s="3" t="s">
        <v>109</v>
      </c>
      <c r="F73" s="2"/>
      <c r="G73" s="2"/>
    </row>
    <row r="74" spans="1:7" x14ac:dyDescent="0.25">
      <c r="A74" s="3" t="s">
        <v>238</v>
      </c>
      <c r="B74" s="3" t="s">
        <v>109</v>
      </c>
      <c r="F74" s="2"/>
      <c r="G74" s="2"/>
    </row>
    <row r="75" spans="1:7" x14ac:dyDescent="0.25">
      <c r="A75" s="3" t="s">
        <v>238</v>
      </c>
      <c r="B75" s="3" t="s">
        <v>109</v>
      </c>
      <c r="F75" s="2"/>
      <c r="G75" s="2"/>
    </row>
    <row r="76" spans="1:7" x14ac:dyDescent="0.25">
      <c r="A76" s="3" t="s">
        <v>238</v>
      </c>
      <c r="B76" s="3" t="s">
        <v>109</v>
      </c>
      <c r="F76" s="2"/>
      <c r="G76" s="2"/>
    </row>
    <row r="77" spans="1:7" x14ac:dyDescent="0.25">
      <c r="A77" s="3" t="s">
        <v>238</v>
      </c>
      <c r="B77" s="3" t="s">
        <v>109</v>
      </c>
      <c r="F77" s="2"/>
      <c r="G77" s="2"/>
    </row>
    <row r="78" spans="1:7" x14ac:dyDescent="0.25">
      <c r="A78" s="3" t="s">
        <v>238</v>
      </c>
      <c r="B78" s="3" t="s">
        <v>109</v>
      </c>
      <c r="F78" s="2"/>
      <c r="G78" s="2"/>
    </row>
    <row r="79" spans="1:7" x14ac:dyDescent="0.25">
      <c r="A79" s="3" t="s">
        <v>238</v>
      </c>
      <c r="B79" s="3" t="s">
        <v>109</v>
      </c>
      <c r="F79" s="2"/>
      <c r="G79" s="2"/>
    </row>
    <row r="80" spans="1:7" x14ac:dyDescent="0.25">
      <c r="A80" s="3" t="s">
        <v>238</v>
      </c>
      <c r="B80" s="3" t="s">
        <v>109</v>
      </c>
      <c r="F80" s="2"/>
      <c r="G80" s="2"/>
    </row>
    <row r="81" spans="1:7" x14ac:dyDescent="0.25">
      <c r="A81" s="3" t="s">
        <v>238</v>
      </c>
      <c r="B81" s="3" t="s">
        <v>109</v>
      </c>
      <c r="F81" s="2"/>
      <c r="G81" s="2"/>
    </row>
    <row r="82" spans="1:7" x14ac:dyDescent="0.25">
      <c r="A82" s="3" t="s">
        <v>238</v>
      </c>
      <c r="B82" s="3" t="s">
        <v>109</v>
      </c>
      <c r="F82" s="2"/>
      <c r="G82" s="2"/>
    </row>
    <row r="83" spans="1:7" x14ac:dyDescent="0.25">
      <c r="A83" s="3" t="s">
        <v>238</v>
      </c>
      <c r="B83" s="3" t="s">
        <v>109</v>
      </c>
      <c r="F83" s="2"/>
      <c r="G83" s="2"/>
    </row>
    <row r="84" spans="1:7" x14ac:dyDescent="0.25">
      <c r="A84" s="3" t="s">
        <v>238</v>
      </c>
      <c r="B84" s="3" t="s">
        <v>109</v>
      </c>
      <c r="F84" s="2"/>
      <c r="G84" s="2"/>
    </row>
    <row r="85" spans="1:7" x14ac:dyDescent="0.25">
      <c r="A85" s="3" t="s">
        <v>238</v>
      </c>
      <c r="B85" s="3" t="s">
        <v>109</v>
      </c>
      <c r="F85" s="2"/>
      <c r="G85" s="2"/>
    </row>
    <row r="86" spans="1:7" x14ac:dyDescent="0.25">
      <c r="A86" s="3" t="s">
        <v>238</v>
      </c>
      <c r="B86" s="3" t="s">
        <v>109</v>
      </c>
      <c r="F86" s="2"/>
      <c r="G86" s="2"/>
    </row>
    <row r="87" spans="1:7" x14ac:dyDescent="0.25">
      <c r="A87" s="3" t="s">
        <v>238</v>
      </c>
      <c r="B87" s="3" t="s">
        <v>109</v>
      </c>
      <c r="F87" s="2"/>
      <c r="G87" s="2"/>
    </row>
    <row r="88" spans="1:7" x14ac:dyDescent="0.25">
      <c r="A88" s="3" t="s">
        <v>238</v>
      </c>
      <c r="B88" s="3" t="s">
        <v>109</v>
      </c>
      <c r="F88" s="2"/>
      <c r="G88" s="2"/>
    </row>
    <row r="89" spans="1:7" x14ac:dyDescent="0.25">
      <c r="A89" s="3" t="s">
        <v>238</v>
      </c>
      <c r="B89" s="3" t="s">
        <v>109</v>
      </c>
      <c r="F89" s="2"/>
      <c r="G89" s="2"/>
    </row>
    <row r="90" spans="1:7" x14ac:dyDescent="0.25">
      <c r="A90" s="3" t="s">
        <v>238</v>
      </c>
      <c r="B90" s="3" t="s">
        <v>109</v>
      </c>
      <c r="F90" s="2"/>
      <c r="G90" s="2"/>
    </row>
    <row r="91" spans="1:7" x14ac:dyDescent="0.25">
      <c r="A91" s="3" t="s">
        <v>238</v>
      </c>
      <c r="B91" s="3" t="s">
        <v>109</v>
      </c>
      <c r="F91" s="2"/>
      <c r="G91" s="2"/>
    </row>
    <row r="92" spans="1:7" x14ac:dyDescent="0.25">
      <c r="A92" s="3" t="s">
        <v>238</v>
      </c>
      <c r="B92" s="3" t="s">
        <v>109</v>
      </c>
      <c r="F92" s="2"/>
      <c r="G92" s="2"/>
    </row>
    <row r="93" spans="1:7" x14ac:dyDescent="0.25">
      <c r="A93" s="3" t="s">
        <v>238</v>
      </c>
      <c r="B93" s="3" t="s">
        <v>109</v>
      </c>
      <c r="F93" s="2"/>
      <c r="G93" s="2"/>
    </row>
    <row r="94" spans="1:7" x14ac:dyDescent="0.25">
      <c r="A94" s="3" t="s">
        <v>238</v>
      </c>
      <c r="B94" s="3" t="s">
        <v>109</v>
      </c>
      <c r="F94" s="2"/>
      <c r="G94" s="2"/>
    </row>
    <row r="95" spans="1:7" x14ac:dyDescent="0.25">
      <c r="A95" s="3" t="s">
        <v>238</v>
      </c>
      <c r="B95" s="3" t="s">
        <v>109</v>
      </c>
      <c r="F95" s="2"/>
      <c r="G95" s="2"/>
    </row>
    <row r="96" spans="1:7" x14ac:dyDescent="0.25">
      <c r="A96" s="3" t="s">
        <v>238</v>
      </c>
      <c r="B96" s="3" t="s">
        <v>109</v>
      </c>
      <c r="F96" s="2"/>
      <c r="G96" s="2"/>
    </row>
    <row r="97" spans="1:7" x14ac:dyDescent="0.25">
      <c r="A97" s="3" t="s">
        <v>238</v>
      </c>
      <c r="B97" s="3" t="s">
        <v>109</v>
      </c>
      <c r="F97" s="2"/>
      <c r="G97" s="2"/>
    </row>
    <row r="98" spans="1:7" x14ac:dyDescent="0.25">
      <c r="A98" s="3" t="s">
        <v>238</v>
      </c>
      <c r="B98" s="3" t="s">
        <v>109</v>
      </c>
      <c r="F98" s="2"/>
      <c r="G98" s="2"/>
    </row>
    <row r="99" spans="1:7" x14ac:dyDescent="0.25">
      <c r="A99" s="3" t="s">
        <v>238</v>
      </c>
      <c r="B99" s="3" t="s">
        <v>109</v>
      </c>
      <c r="F99" s="2"/>
      <c r="G99" s="2"/>
    </row>
    <row r="100" spans="1:7" x14ac:dyDescent="0.25">
      <c r="A100" s="3" t="s">
        <v>238</v>
      </c>
      <c r="B100" s="3" t="s">
        <v>109</v>
      </c>
      <c r="F100" s="2"/>
      <c r="G100" s="2"/>
    </row>
    <row r="101" spans="1:7" x14ac:dyDescent="0.25">
      <c r="A101" s="3" t="s">
        <v>238</v>
      </c>
      <c r="B101" s="3" t="s">
        <v>109</v>
      </c>
      <c r="F101" s="2"/>
      <c r="G101" s="2"/>
    </row>
    <row r="102" spans="1:7" x14ac:dyDescent="0.25">
      <c r="A102" s="3" t="s">
        <v>238</v>
      </c>
      <c r="B102" s="3" t="s">
        <v>109</v>
      </c>
      <c r="F102" s="2"/>
      <c r="G102" s="2"/>
    </row>
    <row r="103" spans="1:7" x14ac:dyDescent="0.25">
      <c r="A103" s="3" t="s">
        <v>238</v>
      </c>
      <c r="B103" s="3" t="s">
        <v>109</v>
      </c>
      <c r="F103" s="2"/>
      <c r="G103" s="2"/>
    </row>
    <row r="104" spans="1:7" x14ac:dyDescent="0.25">
      <c r="A104" s="3" t="s">
        <v>238</v>
      </c>
      <c r="B104" s="3" t="s">
        <v>109</v>
      </c>
      <c r="F104" s="2"/>
      <c r="G104" s="2"/>
    </row>
    <row r="105" spans="1:7" x14ac:dyDescent="0.25">
      <c r="A105" s="3" t="s">
        <v>238</v>
      </c>
      <c r="B105" s="3" t="s">
        <v>109</v>
      </c>
      <c r="F105" s="2"/>
      <c r="G105" s="2"/>
    </row>
    <row r="106" spans="1:7" x14ac:dyDescent="0.25">
      <c r="A106" s="3" t="s">
        <v>238</v>
      </c>
      <c r="B106" s="3" t="s">
        <v>109</v>
      </c>
      <c r="F106" s="2"/>
      <c r="G106" s="2"/>
    </row>
    <row r="107" spans="1:7" x14ac:dyDescent="0.25">
      <c r="A107" s="3" t="s">
        <v>238</v>
      </c>
      <c r="B107" s="3" t="s">
        <v>109</v>
      </c>
      <c r="F107" s="2"/>
      <c r="G107" s="2"/>
    </row>
    <row r="108" spans="1:7" x14ac:dyDescent="0.25">
      <c r="A108" s="3" t="s">
        <v>238</v>
      </c>
      <c r="B108" s="3" t="s">
        <v>109</v>
      </c>
      <c r="F108" s="2"/>
      <c r="G108" s="2"/>
    </row>
    <row r="109" spans="1:7" x14ac:dyDescent="0.25">
      <c r="A109" s="3" t="s">
        <v>238</v>
      </c>
      <c r="B109" s="3" t="s">
        <v>109</v>
      </c>
      <c r="F109" s="2"/>
      <c r="G109" s="2"/>
    </row>
    <row r="110" spans="1:7" x14ac:dyDescent="0.25">
      <c r="A110" s="3" t="s">
        <v>238</v>
      </c>
      <c r="B110" s="3" t="s">
        <v>109</v>
      </c>
      <c r="F110" s="2"/>
      <c r="G110" s="2"/>
    </row>
    <row r="111" spans="1:7" x14ac:dyDescent="0.25">
      <c r="A111" s="3" t="s">
        <v>238</v>
      </c>
      <c r="B111" s="3" t="s">
        <v>109</v>
      </c>
      <c r="F111" s="2"/>
      <c r="G111" s="2"/>
    </row>
    <row r="112" spans="1:7" x14ac:dyDescent="0.25">
      <c r="A112" s="3" t="s">
        <v>238</v>
      </c>
      <c r="B112" s="3" t="s">
        <v>109</v>
      </c>
      <c r="F112" s="2"/>
      <c r="G112" s="2"/>
    </row>
    <row r="113" spans="1:7" x14ac:dyDescent="0.25">
      <c r="A113" s="3" t="s">
        <v>238</v>
      </c>
      <c r="B113" s="3" t="s">
        <v>109</v>
      </c>
      <c r="F113" s="2"/>
      <c r="G113" s="2"/>
    </row>
    <row r="114" spans="1:7" x14ac:dyDescent="0.25">
      <c r="A114" s="3" t="s">
        <v>238</v>
      </c>
      <c r="B114" s="3" t="s">
        <v>109</v>
      </c>
      <c r="F114" s="2"/>
      <c r="G114" s="2"/>
    </row>
    <row r="115" spans="1:7" x14ac:dyDescent="0.25">
      <c r="A115" s="3" t="s">
        <v>238</v>
      </c>
      <c r="B115" s="3" t="s">
        <v>109</v>
      </c>
      <c r="F115" s="2"/>
      <c r="G115" s="2"/>
    </row>
    <row r="116" spans="1:7" x14ac:dyDescent="0.25">
      <c r="A116" s="3" t="s">
        <v>238</v>
      </c>
      <c r="B116" s="3" t="s">
        <v>109</v>
      </c>
      <c r="F116" s="2"/>
      <c r="G116" s="2"/>
    </row>
    <row r="117" spans="1:7" x14ac:dyDescent="0.25">
      <c r="A117" s="3" t="s">
        <v>238</v>
      </c>
      <c r="B117" s="3" t="s">
        <v>109</v>
      </c>
      <c r="F117" s="2"/>
      <c r="G117" s="2"/>
    </row>
    <row r="118" spans="1:7" x14ac:dyDescent="0.25">
      <c r="A118" s="3" t="s">
        <v>238</v>
      </c>
      <c r="B118" s="3" t="s">
        <v>109</v>
      </c>
      <c r="F118" s="2"/>
      <c r="G118" s="2"/>
    </row>
    <row r="119" spans="1:7" x14ac:dyDescent="0.25">
      <c r="A119" s="3" t="s">
        <v>238</v>
      </c>
      <c r="B119" s="3" t="s">
        <v>109</v>
      </c>
      <c r="F119" s="2"/>
      <c r="G119" s="2"/>
    </row>
    <row r="120" spans="1:7" x14ac:dyDescent="0.25">
      <c r="A120" s="3" t="s">
        <v>238</v>
      </c>
      <c r="B120" s="3" t="s">
        <v>109</v>
      </c>
      <c r="F120" s="2"/>
      <c r="G120" s="2"/>
    </row>
    <row r="121" spans="1:7" x14ac:dyDescent="0.25">
      <c r="A121" s="3" t="s">
        <v>238</v>
      </c>
      <c r="B121" s="3" t="s">
        <v>109</v>
      </c>
      <c r="F121" s="2"/>
      <c r="G121" s="2"/>
    </row>
    <row r="122" spans="1:7" x14ac:dyDescent="0.25">
      <c r="A122" s="3" t="s">
        <v>238</v>
      </c>
      <c r="B122" s="3" t="s">
        <v>109</v>
      </c>
      <c r="F122" s="2"/>
      <c r="G122" s="2"/>
    </row>
    <row r="123" spans="1:7" x14ac:dyDescent="0.25">
      <c r="A123" s="3" t="s">
        <v>238</v>
      </c>
      <c r="B123" s="3" t="s">
        <v>109</v>
      </c>
      <c r="F123" s="3"/>
      <c r="G123" s="3"/>
    </row>
    <row r="124" spans="1:7" x14ac:dyDescent="0.25">
      <c r="A124" s="3" t="s">
        <v>238</v>
      </c>
      <c r="B124" s="3" t="s">
        <v>109</v>
      </c>
      <c r="F124" s="2"/>
      <c r="G124" s="2"/>
    </row>
    <row r="125" spans="1:7" x14ac:dyDescent="0.25">
      <c r="A125" s="3" t="s">
        <v>238</v>
      </c>
      <c r="B125" s="3" t="s">
        <v>109</v>
      </c>
      <c r="F125" s="2"/>
      <c r="G125" s="2"/>
    </row>
    <row r="126" spans="1:7" x14ac:dyDescent="0.25">
      <c r="A126" s="3" t="s">
        <v>215</v>
      </c>
      <c r="B126" s="3" t="s">
        <v>109</v>
      </c>
      <c r="F126" s="2"/>
      <c r="G126" s="2"/>
    </row>
    <row r="127" spans="1:7" x14ac:dyDescent="0.25">
      <c r="A127" s="3" t="s">
        <v>215</v>
      </c>
      <c r="B127" s="3" t="s">
        <v>109</v>
      </c>
      <c r="F127" s="2"/>
      <c r="G127" s="2"/>
    </row>
    <row r="128" spans="1:7" x14ac:dyDescent="0.25">
      <c r="A128" s="3" t="s">
        <v>215</v>
      </c>
      <c r="B128" s="3" t="s">
        <v>109</v>
      </c>
      <c r="F128" s="2"/>
      <c r="G128" s="2"/>
    </row>
    <row r="129" spans="1:7" x14ac:dyDescent="0.25">
      <c r="A129" s="3" t="s">
        <v>215</v>
      </c>
      <c r="B129" s="3" t="s">
        <v>109</v>
      </c>
      <c r="F129" s="2"/>
      <c r="G129" s="2"/>
    </row>
    <row r="130" spans="1:7" x14ac:dyDescent="0.25">
      <c r="A130" s="3" t="s">
        <v>215</v>
      </c>
      <c r="B130" s="3" t="s">
        <v>109</v>
      </c>
      <c r="F130" s="2"/>
      <c r="G130" s="2"/>
    </row>
    <row r="131" spans="1:7" x14ac:dyDescent="0.25">
      <c r="A131" s="3" t="s">
        <v>215</v>
      </c>
      <c r="B131" s="3" t="s">
        <v>109</v>
      </c>
      <c r="F131" s="2"/>
      <c r="G131" s="2"/>
    </row>
    <row r="132" spans="1:7" x14ac:dyDescent="0.25">
      <c r="A132" s="3" t="s">
        <v>215</v>
      </c>
      <c r="B132" s="3" t="s">
        <v>109</v>
      </c>
      <c r="F132" s="2"/>
      <c r="G132" s="2"/>
    </row>
    <row r="133" spans="1:7" x14ac:dyDescent="0.25">
      <c r="A133" s="3" t="s">
        <v>215</v>
      </c>
      <c r="B133" s="3" t="s">
        <v>109</v>
      </c>
      <c r="F133" s="2"/>
      <c r="G133" s="2"/>
    </row>
    <row r="134" spans="1:7" x14ac:dyDescent="0.25">
      <c r="A134" s="3" t="s">
        <v>215</v>
      </c>
      <c r="B134" s="3" t="s">
        <v>109</v>
      </c>
      <c r="F134" s="2"/>
      <c r="G134" s="2"/>
    </row>
    <row r="135" spans="1:7" x14ac:dyDescent="0.25">
      <c r="A135" s="3" t="s">
        <v>215</v>
      </c>
      <c r="B135" s="3" t="s">
        <v>109</v>
      </c>
      <c r="F135" s="2"/>
      <c r="G135" s="2"/>
    </row>
    <row r="136" spans="1:7" x14ac:dyDescent="0.25">
      <c r="A136" s="3" t="s">
        <v>215</v>
      </c>
      <c r="B136" s="3" t="s">
        <v>109</v>
      </c>
      <c r="F136" s="2"/>
      <c r="G136" s="2"/>
    </row>
    <row r="137" spans="1:7" x14ac:dyDescent="0.25">
      <c r="A137" s="3" t="s">
        <v>215</v>
      </c>
      <c r="B137" s="3" t="s">
        <v>109</v>
      </c>
      <c r="F137" s="2"/>
      <c r="G137" s="2"/>
    </row>
    <row r="138" spans="1:7" x14ac:dyDescent="0.25">
      <c r="A138" s="3" t="s">
        <v>215</v>
      </c>
      <c r="B138" s="3" t="s">
        <v>109</v>
      </c>
      <c r="F138" s="2"/>
      <c r="G138" s="2"/>
    </row>
    <row r="139" spans="1:7" x14ac:dyDescent="0.25">
      <c r="F139" s="2"/>
      <c r="G139" s="2"/>
    </row>
    <row r="140" spans="1:7" x14ac:dyDescent="0.25">
      <c r="F140" s="2"/>
      <c r="G140" s="2"/>
    </row>
  </sheetData>
  <sortState ref="A4:B151">
    <sortCondition ref="B4:B151"/>
  </sortState>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3"/>
  <sheetViews>
    <sheetView workbookViewId="0"/>
  </sheetViews>
  <sheetFormatPr defaultRowHeight="15" x14ac:dyDescent="0.25"/>
  <cols>
    <col min="8" max="8" width="26.140625" bestFit="1" customWidth="1"/>
    <col min="11" max="11" width="17.28515625" bestFit="1" customWidth="1"/>
    <col min="16" max="16" width="2.140625" customWidth="1"/>
    <col min="20" max="20" width="3.140625" customWidth="1"/>
    <col min="24" max="24" width="3.28515625" customWidth="1"/>
    <col min="28" max="28" width="3.85546875" customWidth="1"/>
  </cols>
  <sheetData>
    <row r="1" spans="1:31" x14ac:dyDescent="0.25">
      <c r="A1" s="15" t="s">
        <v>368</v>
      </c>
    </row>
    <row r="2" spans="1:31" x14ac:dyDescent="0.25">
      <c r="A2" s="15" t="s">
        <v>369</v>
      </c>
    </row>
    <row r="4" spans="1:31" x14ac:dyDescent="0.25">
      <c r="B4" t="s">
        <v>284</v>
      </c>
      <c r="C4" t="s">
        <v>285</v>
      </c>
      <c r="D4" t="s">
        <v>286</v>
      </c>
      <c r="H4" s="19" t="s">
        <v>291</v>
      </c>
      <c r="I4" s="19"/>
      <c r="J4" s="19"/>
      <c r="K4" s="19"/>
      <c r="L4" s="19"/>
      <c r="M4" s="19"/>
      <c r="N4" s="19"/>
      <c r="O4" s="19"/>
    </row>
    <row r="5" spans="1:31" x14ac:dyDescent="0.25">
      <c r="A5" s="2" t="s">
        <v>236</v>
      </c>
      <c r="B5" s="2">
        <v>2</v>
      </c>
      <c r="C5" s="2">
        <v>20</v>
      </c>
      <c r="D5">
        <v>78</v>
      </c>
      <c r="E5" s="32">
        <f t="shared" ref="E5:E36" si="0">SUM(B5:D5)</f>
        <v>100</v>
      </c>
      <c r="H5" s="20" t="s">
        <v>287</v>
      </c>
      <c r="I5" s="19"/>
      <c r="J5" s="19"/>
      <c r="K5" s="20" t="s">
        <v>277</v>
      </c>
      <c r="L5" s="19"/>
      <c r="M5" s="19"/>
      <c r="N5" s="19"/>
      <c r="O5" s="19"/>
    </row>
    <row r="6" spans="1:31" x14ac:dyDescent="0.25">
      <c r="A6" s="2" t="s">
        <v>236</v>
      </c>
      <c r="B6" s="2">
        <v>2</v>
      </c>
      <c r="C6" s="2">
        <v>98</v>
      </c>
      <c r="D6">
        <v>0</v>
      </c>
      <c r="E6" s="32">
        <f t="shared" si="0"/>
        <v>100</v>
      </c>
      <c r="H6" s="19"/>
      <c r="I6" s="19"/>
      <c r="J6" s="19"/>
      <c r="K6" s="33"/>
      <c r="L6" s="33" t="s">
        <v>288</v>
      </c>
      <c r="M6" s="33" t="s">
        <v>289</v>
      </c>
      <c r="N6" s="33" t="s">
        <v>290</v>
      </c>
      <c r="O6" s="19" t="s">
        <v>292</v>
      </c>
      <c r="Q6" s="2" t="s">
        <v>236</v>
      </c>
      <c r="R6" s="2">
        <v>2</v>
      </c>
      <c r="S6" s="2">
        <v>20</v>
      </c>
      <c r="U6" s="2" t="s">
        <v>237</v>
      </c>
      <c r="V6" s="2">
        <v>20</v>
      </c>
      <c r="W6" s="2">
        <v>80</v>
      </c>
      <c r="Y6" s="2" t="s">
        <v>238</v>
      </c>
      <c r="Z6" s="2">
        <v>0</v>
      </c>
      <c r="AA6" s="2">
        <v>100</v>
      </c>
      <c r="AC6" s="3" t="s">
        <v>215</v>
      </c>
      <c r="AD6" s="3">
        <v>5</v>
      </c>
      <c r="AE6" s="3">
        <v>75</v>
      </c>
    </row>
    <row r="7" spans="1:31" x14ac:dyDescent="0.25">
      <c r="A7" s="2" t="s">
        <v>236</v>
      </c>
      <c r="B7" s="2">
        <v>2</v>
      </c>
      <c r="C7" s="2">
        <v>8</v>
      </c>
      <c r="D7">
        <v>90</v>
      </c>
      <c r="E7" s="32">
        <f t="shared" si="0"/>
        <v>100</v>
      </c>
      <c r="H7" s="19" t="s">
        <v>288</v>
      </c>
      <c r="I7" s="34">
        <f>B133/127</f>
        <v>35.551181102362207</v>
      </c>
      <c r="J7" s="19"/>
      <c r="K7" s="33" t="s">
        <v>251</v>
      </c>
      <c r="L7" s="35">
        <v>26</v>
      </c>
      <c r="M7" s="35">
        <v>43</v>
      </c>
      <c r="N7" s="35">
        <v>31</v>
      </c>
      <c r="O7" s="34">
        <f t="shared" ref="O7:O12" si="1">SUM(L7:N7)</f>
        <v>100</v>
      </c>
      <c r="Q7" s="2" t="s">
        <v>236</v>
      </c>
      <c r="R7" s="2">
        <v>2</v>
      </c>
      <c r="S7" s="2">
        <v>98</v>
      </c>
      <c r="U7" s="2" t="s">
        <v>237</v>
      </c>
      <c r="V7" s="2">
        <v>20</v>
      </c>
      <c r="W7" s="2">
        <v>70</v>
      </c>
      <c r="Y7" s="2" t="s">
        <v>238</v>
      </c>
      <c r="Z7" s="2">
        <v>0</v>
      </c>
      <c r="AA7" s="2">
        <v>0</v>
      </c>
      <c r="AC7" s="2" t="s">
        <v>215</v>
      </c>
      <c r="AD7" s="2">
        <v>5</v>
      </c>
      <c r="AE7" s="2">
        <v>10</v>
      </c>
    </row>
    <row r="8" spans="1:31" x14ac:dyDescent="0.25">
      <c r="A8" s="2" t="s">
        <v>236</v>
      </c>
      <c r="B8" s="2">
        <v>4</v>
      </c>
      <c r="C8" s="2">
        <v>12</v>
      </c>
      <c r="D8">
        <v>84</v>
      </c>
      <c r="E8" s="32">
        <f t="shared" si="0"/>
        <v>100</v>
      </c>
      <c r="H8" s="19" t="s">
        <v>289</v>
      </c>
      <c r="I8" s="34">
        <f>C133/127</f>
        <v>45.874015748031496</v>
      </c>
      <c r="J8" s="19"/>
      <c r="K8" s="33" t="s">
        <v>293</v>
      </c>
      <c r="L8" s="35">
        <v>35</v>
      </c>
      <c r="M8" s="35">
        <v>46</v>
      </c>
      <c r="N8" s="35">
        <v>19</v>
      </c>
      <c r="O8" s="34">
        <f t="shared" si="1"/>
        <v>100</v>
      </c>
      <c r="Q8" s="2" t="s">
        <v>236</v>
      </c>
      <c r="R8" s="2">
        <v>2</v>
      </c>
      <c r="S8" s="2">
        <v>8</v>
      </c>
      <c r="U8" s="2" t="s">
        <v>237</v>
      </c>
      <c r="V8" s="2">
        <v>25</v>
      </c>
      <c r="W8" s="2">
        <v>50</v>
      </c>
      <c r="Y8" s="2" t="s">
        <v>238</v>
      </c>
      <c r="Z8" s="2">
        <v>0</v>
      </c>
      <c r="AA8" s="2">
        <v>3</v>
      </c>
      <c r="AC8" s="2" t="s">
        <v>215</v>
      </c>
      <c r="AD8" s="2">
        <v>10</v>
      </c>
      <c r="AE8" s="2">
        <v>90</v>
      </c>
    </row>
    <row r="9" spans="1:31" x14ac:dyDescent="0.25">
      <c r="A9" s="2" t="s">
        <v>236</v>
      </c>
      <c r="B9" s="2">
        <v>5</v>
      </c>
      <c r="C9" s="2">
        <v>90</v>
      </c>
      <c r="D9">
        <v>5</v>
      </c>
      <c r="E9" s="32">
        <f t="shared" si="0"/>
        <v>100</v>
      </c>
      <c r="H9" s="19" t="s">
        <v>290</v>
      </c>
      <c r="I9" s="34">
        <f>D133/127</f>
        <v>18.5748031496063</v>
      </c>
      <c r="J9" s="19"/>
      <c r="K9" s="33" t="s">
        <v>282</v>
      </c>
      <c r="L9" s="35">
        <f>AD20/13</f>
        <v>34.615384615384613</v>
      </c>
      <c r="M9" s="35">
        <f>AE20/13</f>
        <v>52.153846153846153</v>
      </c>
      <c r="N9" s="35">
        <v>13</v>
      </c>
      <c r="O9" s="34">
        <f t="shared" si="1"/>
        <v>99.769230769230774</v>
      </c>
      <c r="Q9" s="2" t="s">
        <v>236</v>
      </c>
      <c r="R9" s="2">
        <v>4</v>
      </c>
      <c r="S9" s="2">
        <v>12</v>
      </c>
      <c r="U9" s="2" t="s">
        <v>237</v>
      </c>
      <c r="V9" s="2">
        <v>25</v>
      </c>
      <c r="W9" s="2">
        <v>75</v>
      </c>
      <c r="Y9" s="2" t="s">
        <v>238</v>
      </c>
      <c r="Z9" s="2">
        <v>0</v>
      </c>
      <c r="AA9" s="2">
        <v>36</v>
      </c>
      <c r="AC9" s="2" t="s">
        <v>215</v>
      </c>
      <c r="AD9" s="2">
        <v>15</v>
      </c>
      <c r="AE9" s="2">
        <v>75</v>
      </c>
    </row>
    <row r="10" spans="1:31" x14ac:dyDescent="0.25">
      <c r="A10" s="2" t="s">
        <v>236</v>
      </c>
      <c r="B10" s="2">
        <v>5</v>
      </c>
      <c r="C10" s="2">
        <v>10</v>
      </c>
      <c r="D10">
        <v>85</v>
      </c>
      <c r="E10" s="32">
        <f t="shared" si="0"/>
        <v>100</v>
      </c>
      <c r="H10" s="19"/>
      <c r="I10" s="19">
        <f>SUM(I7:I9)</f>
        <v>100</v>
      </c>
      <c r="J10" s="19"/>
      <c r="K10" s="33" t="s">
        <v>295</v>
      </c>
      <c r="L10" s="35">
        <f>Z84/77</f>
        <v>46.350649350649348</v>
      </c>
      <c r="M10" s="35">
        <f>AA84/77</f>
        <v>44.961038961038959</v>
      </c>
      <c r="N10" s="35">
        <v>9</v>
      </c>
      <c r="O10" s="34">
        <f t="shared" si="1"/>
        <v>100.3116883116883</v>
      </c>
      <c r="Q10" s="2" t="s">
        <v>236</v>
      </c>
      <c r="R10" s="2">
        <v>5</v>
      </c>
      <c r="S10" s="2">
        <v>90</v>
      </c>
      <c r="U10" s="2" t="s">
        <v>237</v>
      </c>
      <c r="V10" s="2">
        <v>40</v>
      </c>
      <c r="W10" s="2">
        <v>60</v>
      </c>
      <c r="Y10" s="2" t="s">
        <v>238</v>
      </c>
      <c r="Z10" s="2">
        <v>0</v>
      </c>
      <c r="AA10" s="2">
        <v>100</v>
      </c>
      <c r="AC10" s="2" t="s">
        <v>215</v>
      </c>
      <c r="AD10" s="2">
        <v>20</v>
      </c>
      <c r="AE10" s="2">
        <v>80</v>
      </c>
    </row>
    <row r="11" spans="1:31" x14ac:dyDescent="0.25">
      <c r="A11" s="2" t="s">
        <v>236</v>
      </c>
      <c r="B11" s="2">
        <v>5</v>
      </c>
      <c r="C11" s="2">
        <v>50</v>
      </c>
      <c r="D11">
        <v>45</v>
      </c>
      <c r="E11" s="32">
        <f t="shared" si="0"/>
        <v>100</v>
      </c>
      <c r="H11" s="19"/>
      <c r="I11" s="19"/>
      <c r="J11" s="19"/>
      <c r="K11" s="33" t="s">
        <v>274</v>
      </c>
      <c r="L11" s="35">
        <f>V12/5</f>
        <v>26</v>
      </c>
      <c r="M11" s="35">
        <f>W12/5</f>
        <v>67</v>
      </c>
      <c r="N11" s="35">
        <v>7</v>
      </c>
      <c r="O11" s="34">
        <f t="shared" si="1"/>
        <v>100</v>
      </c>
      <c r="Q11" s="2" t="s">
        <v>236</v>
      </c>
      <c r="R11" s="2">
        <v>5</v>
      </c>
      <c r="S11" s="2">
        <v>10</v>
      </c>
      <c r="Y11" s="2" t="s">
        <v>238</v>
      </c>
      <c r="Z11" s="2">
        <v>1</v>
      </c>
      <c r="AA11" s="2">
        <v>96</v>
      </c>
      <c r="AC11" s="2" t="s">
        <v>215</v>
      </c>
      <c r="AD11" s="2">
        <v>26</v>
      </c>
      <c r="AE11" s="2">
        <v>64</v>
      </c>
    </row>
    <row r="12" spans="1:31" x14ac:dyDescent="0.25">
      <c r="A12" s="2" t="s">
        <v>236</v>
      </c>
      <c r="B12" s="3">
        <v>5</v>
      </c>
      <c r="C12" s="3">
        <v>40</v>
      </c>
      <c r="D12">
        <v>55</v>
      </c>
      <c r="E12" s="32">
        <f t="shared" si="0"/>
        <v>100</v>
      </c>
      <c r="H12" s="19"/>
      <c r="I12" s="19"/>
      <c r="J12" s="19"/>
      <c r="K12" s="33" t="s">
        <v>294</v>
      </c>
      <c r="L12" s="35">
        <f>R39/32</f>
        <v>11.4375</v>
      </c>
      <c r="M12" s="35">
        <f>S39/32</f>
        <v>42.21875</v>
      </c>
      <c r="N12" s="35">
        <v>46</v>
      </c>
      <c r="O12" s="34">
        <f t="shared" si="1"/>
        <v>99.65625</v>
      </c>
      <c r="Q12" s="2" t="s">
        <v>236</v>
      </c>
      <c r="R12" s="2">
        <v>5</v>
      </c>
      <c r="S12" s="2">
        <v>50</v>
      </c>
      <c r="V12">
        <f>SUM(V6:V11)</f>
        <v>130</v>
      </c>
      <c r="W12">
        <f>SUM(W6:W11)</f>
        <v>335</v>
      </c>
      <c r="Y12" s="2" t="s">
        <v>238</v>
      </c>
      <c r="Z12" s="2">
        <v>1</v>
      </c>
      <c r="AA12" s="2">
        <v>99</v>
      </c>
      <c r="AC12" s="2" t="s">
        <v>215</v>
      </c>
      <c r="AD12" s="2">
        <v>30</v>
      </c>
      <c r="AE12" s="2">
        <v>70</v>
      </c>
    </row>
    <row r="13" spans="1:31" x14ac:dyDescent="0.25">
      <c r="A13" s="2" t="s">
        <v>236</v>
      </c>
      <c r="B13" s="2">
        <v>5</v>
      </c>
      <c r="C13" s="2">
        <v>25</v>
      </c>
      <c r="D13">
        <v>70</v>
      </c>
      <c r="E13" s="32">
        <f t="shared" si="0"/>
        <v>100</v>
      </c>
      <c r="H13" s="19"/>
      <c r="I13" s="19"/>
      <c r="J13" s="19"/>
      <c r="K13" s="19"/>
      <c r="L13" s="19"/>
      <c r="M13" s="19"/>
      <c r="N13" s="19"/>
      <c r="O13" s="19"/>
      <c r="Q13" s="2" t="s">
        <v>236</v>
      </c>
      <c r="R13" s="3">
        <v>5</v>
      </c>
      <c r="S13" s="3">
        <v>40</v>
      </c>
      <c r="Y13" s="2" t="s">
        <v>238</v>
      </c>
      <c r="Z13" s="2">
        <v>2</v>
      </c>
      <c r="AA13" s="2">
        <v>98</v>
      </c>
      <c r="AC13" s="2" t="s">
        <v>215</v>
      </c>
      <c r="AD13" s="2">
        <v>40</v>
      </c>
      <c r="AE13" s="2">
        <v>40</v>
      </c>
    </row>
    <row r="14" spans="1:31" x14ac:dyDescent="0.25">
      <c r="A14" s="2" t="s">
        <v>236</v>
      </c>
      <c r="B14" s="2">
        <v>5</v>
      </c>
      <c r="C14" s="2">
        <v>20</v>
      </c>
      <c r="D14">
        <v>75</v>
      </c>
      <c r="E14" s="32">
        <f t="shared" si="0"/>
        <v>100</v>
      </c>
      <c r="H14" s="19"/>
      <c r="I14" s="19"/>
      <c r="J14" s="19"/>
      <c r="K14" s="19"/>
      <c r="L14" s="19"/>
      <c r="M14" s="19"/>
      <c r="N14" s="19"/>
      <c r="O14" s="19"/>
      <c r="Q14" s="2" t="s">
        <v>236</v>
      </c>
      <c r="R14" s="2">
        <v>5</v>
      </c>
      <c r="S14" s="2">
        <v>25</v>
      </c>
      <c r="Y14" s="2" t="s">
        <v>238</v>
      </c>
      <c r="Z14" s="2">
        <v>5</v>
      </c>
      <c r="AA14" s="2">
        <v>95</v>
      </c>
      <c r="AC14" s="2" t="s">
        <v>215</v>
      </c>
      <c r="AD14" s="2">
        <v>40</v>
      </c>
      <c r="AE14" s="2">
        <v>60</v>
      </c>
    </row>
    <row r="15" spans="1:31" x14ac:dyDescent="0.25">
      <c r="A15" s="2" t="s">
        <v>236</v>
      </c>
      <c r="B15" s="2">
        <v>5</v>
      </c>
      <c r="C15" s="2">
        <v>25</v>
      </c>
      <c r="D15">
        <v>70</v>
      </c>
      <c r="E15" s="32">
        <f t="shared" si="0"/>
        <v>100</v>
      </c>
      <c r="Q15" s="2" t="s">
        <v>236</v>
      </c>
      <c r="R15" s="2">
        <v>5</v>
      </c>
      <c r="S15" s="2">
        <v>20</v>
      </c>
      <c r="Y15" s="2" t="s">
        <v>238</v>
      </c>
      <c r="Z15" s="2">
        <v>5</v>
      </c>
      <c r="AA15" s="2">
        <v>95</v>
      </c>
      <c r="AC15" s="2" t="s">
        <v>215</v>
      </c>
      <c r="AD15" s="2">
        <v>49</v>
      </c>
      <c r="AE15" s="2">
        <v>49</v>
      </c>
    </row>
    <row r="16" spans="1:31" x14ac:dyDescent="0.25">
      <c r="A16" s="2" t="s">
        <v>236</v>
      </c>
      <c r="B16" s="3">
        <v>7</v>
      </c>
      <c r="C16" s="3">
        <v>3</v>
      </c>
      <c r="D16">
        <v>90</v>
      </c>
      <c r="E16" s="32">
        <f t="shared" si="0"/>
        <v>100</v>
      </c>
      <c r="Q16" s="2" t="s">
        <v>236</v>
      </c>
      <c r="R16" s="2">
        <v>5</v>
      </c>
      <c r="S16" s="2">
        <v>25</v>
      </c>
      <c r="Y16" s="2" t="s">
        <v>238</v>
      </c>
      <c r="Z16" s="2">
        <v>5</v>
      </c>
      <c r="AA16" s="2">
        <v>50</v>
      </c>
      <c r="AC16" s="2" t="s">
        <v>215</v>
      </c>
      <c r="AD16" s="2">
        <v>60</v>
      </c>
      <c r="AE16" s="2">
        <v>35</v>
      </c>
    </row>
    <row r="17" spans="1:31" x14ac:dyDescent="0.25">
      <c r="A17" s="2" t="s">
        <v>236</v>
      </c>
      <c r="B17" s="2">
        <v>8</v>
      </c>
      <c r="C17" s="2">
        <v>25</v>
      </c>
      <c r="D17">
        <v>67</v>
      </c>
      <c r="E17" s="32">
        <f t="shared" si="0"/>
        <v>100</v>
      </c>
      <c r="Q17" s="2" t="s">
        <v>236</v>
      </c>
      <c r="R17" s="3">
        <v>7</v>
      </c>
      <c r="S17" s="3">
        <v>3</v>
      </c>
      <c r="Y17" s="2" t="s">
        <v>238</v>
      </c>
      <c r="Z17" s="2">
        <v>5</v>
      </c>
      <c r="AA17" s="2">
        <v>95</v>
      </c>
      <c r="AC17" s="2" t="s">
        <v>215</v>
      </c>
      <c r="AD17" s="2">
        <v>60</v>
      </c>
      <c r="AE17" s="2">
        <v>20</v>
      </c>
    </row>
    <row r="18" spans="1:31" x14ac:dyDescent="0.25">
      <c r="A18" s="2" t="s">
        <v>236</v>
      </c>
      <c r="B18" s="2">
        <v>8</v>
      </c>
      <c r="C18" s="2">
        <v>27</v>
      </c>
      <c r="D18">
        <v>65</v>
      </c>
      <c r="E18" s="32">
        <f t="shared" si="0"/>
        <v>100</v>
      </c>
      <c r="Q18" s="2" t="s">
        <v>236</v>
      </c>
      <c r="R18" s="2">
        <v>8</v>
      </c>
      <c r="S18" s="2">
        <v>25</v>
      </c>
      <c r="Y18" s="2" t="s">
        <v>238</v>
      </c>
      <c r="Z18" s="2">
        <v>5</v>
      </c>
      <c r="AA18" s="2">
        <v>95</v>
      </c>
      <c r="AC18" s="2" t="s">
        <v>215</v>
      </c>
      <c r="AD18" s="2">
        <v>90</v>
      </c>
      <c r="AE18" s="2">
        <v>10</v>
      </c>
    </row>
    <row r="19" spans="1:31" x14ac:dyDescent="0.25">
      <c r="A19" s="2" t="s">
        <v>236</v>
      </c>
      <c r="B19" s="2">
        <v>8</v>
      </c>
      <c r="C19" s="2">
        <v>80</v>
      </c>
      <c r="D19">
        <v>12</v>
      </c>
      <c r="E19" s="32">
        <f t="shared" si="0"/>
        <v>100</v>
      </c>
      <c r="Q19" s="2" t="s">
        <v>236</v>
      </c>
      <c r="R19" s="2">
        <v>8</v>
      </c>
      <c r="S19" s="2">
        <v>27</v>
      </c>
      <c r="Y19" s="2" t="s">
        <v>238</v>
      </c>
      <c r="Z19" s="2">
        <v>5</v>
      </c>
      <c r="AA19" s="2">
        <v>10</v>
      </c>
    </row>
    <row r="20" spans="1:31" x14ac:dyDescent="0.25">
      <c r="A20" s="2" t="s">
        <v>236</v>
      </c>
      <c r="B20" s="2">
        <v>10</v>
      </c>
      <c r="C20" s="2">
        <v>30</v>
      </c>
      <c r="D20">
        <v>60</v>
      </c>
      <c r="E20" s="32">
        <f t="shared" si="0"/>
        <v>100</v>
      </c>
      <c r="Q20" s="2" t="s">
        <v>236</v>
      </c>
      <c r="R20" s="2">
        <v>8</v>
      </c>
      <c r="S20" s="2">
        <v>80</v>
      </c>
      <c r="Y20" s="2" t="s">
        <v>238</v>
      </c>
      <c r="Z20" s="2">
        <v>10</v>
      </c>
      <c r="AA20" s="2">
        <v>90</v>
      </c>
      <c r="AD20">
        <f>SUM(AD6:AD19)</f>
        <v>450</v>
      </c>
      <c r="AE20" s="19">
        <f>SUM(AE6:AE19)</f>
        <v>678</v>
      </c>
    </row>
    <row r="21" spans="1:31" x14ac:dyDescent="0.25">
      <c r="A21" s="2" t="s">
        <v>236</v>
      </c>
      <c r="B21" s="2">
        <v>10</v>
      </c>
      <c r="C21" s="2">
        <v>40</v>
      </c>
      <c r="D21">
        <v>50</v>
      </c>
      <c r="E21" s="32">
        <f t="shared" si="0"/>
        <v>100</v>
      </c>
      <c r="Q21" s="2" t="s">
        <v>236</v>
      </c>
      <c r="R21" s="2">
        <v>10</v>
      </c>
      <c r="S21" s="2">
        <v>30</v>
      </c>
      <c r="Y21" s="2" t="s">
        <v>238</v>
      </c>
      <c r="Z21" s="2">
        <v>10</v>
      </c>
      <c r="AA21" s="2">
        <v>90</v>
      </c>
    </row>
    <row r="22" spans="1:31" x14ac:dyDescent="0.25">
      <c r="A22" s="2" t="s">
        <v>236</v>
      </c>
      <c r="B22" s="2">
        <v>10</v>
      </c>
      <c r="C22" s="2">
        <v>90</v>
      </c>
      <c r="D22">
        <v>0</v>
      </c>
      <c r="E22" s="32">
        <f t="shared" si="0"/>
        <v>100</v>
      </c>
      <c r="Q22" s="2" t="s">
        <v>236</v>
      </c>
      <c r="R22" s="2">
        <v>10</v>
      </c>
      <c r="S22" s="2">
        <v>40</v>
      </c>
      <c r="Y22" s="2" t="s">
        <v>238</v>
      </c>
      <c r="Z22" s="2">
        <v>10</v>
      </c>
      <c r="AA22" s="2">
        <v>90</v>
      </c>
    </row>
    <row r="23" spans="1:31" x14ac:dyDescent="0.25">
      <c r="A23" s="2" t="s">
        <v>236</v>
      </c>
      <c r="B23" s="2">
        <v>10</v>
      </c>
      <c r="C23" s="2">
        <v>20</v>
      </c>
      <c r="D23">
        <v>70</v>
      </c>
      <c r="E23" s="32">
        <f t="shared" si="0"/>
        <v>100</v>
      </c>
      <c r="Q23" s="2" t="s">
        <v>236</v>
      </c>
      <c r="R23" s="2">
        <v>10</v>
      </c>
      <c r="S23" s="2">
        <v>90</v>
      </c>
      <c r="Y23" s="2" t="s">
        <v>238</v>
      </c>
      <c r="Z23" s="2">
        <v>10</v>
      </c>
      <c r="AA23" s="2">
        <v>90</v>
      </c>
    </row>
    <row r="24" spans="1:31" x14ac:dyDescent="0.25">
      <c r="A24" s="2" t="s">
        <v>236</v>
      </c>
      <c r="B24" s="2">
        <v>12</v>
      </c>
      <c r="C24" s="2">
        <v>60</v>
      </c>
      <c r="D24">
        <v>28</v>
      </c>
      <c r="E24" s="32">
        <f t="shared" si="0"/>
        <v>100</v>
      </c>
      <c r="Q24" s="2" t="s">
        <v>236</v>
      </c>
      <c r="R24" s="2">
        <v>10</v>
      </c>
      <c r="S24" s="2">
        <v>20</v>
      </c>
      <c r="Y24" s="2" t="s">
        <v>238</v>
      </c>
      <c r="Z24" s="2">
        <v>10</v>
      </c>
      <c r="AA24" s="2">
        <v>90</v>
      </c>
    </row>
    <row r="25" spans="1:31" x14ac:dyDescent="0.25">
      <c r="A25" s="2" t="s">
        <v>236</v>
      </c>
      <c r="B25" s="3">
        <v>12</v>
      </c>
      <c r="C25" s="3">
        <v>88</v>
      </c>
      <c r="D25">
        <v>0</v>
      </c>
      <c r="E25" s="32">
        <f t="shared" si="0"/>
        <v>100</v>
      </c>
      <c r="Q25" s="2" t="s">
        <v>236</v>
      </c>
      <c r="R25" s="2">
        <v>12</v>
      </c>
      <c r="S25" s="2">
        <v>60</v>
      </c>
      <c r="Y25" s="2" t="s">
        <v>238</v>
      </c>
      <c r="Z25" s="2">
        <v>18</v>
      </c>
      <c r="AA25" s="2">
        <v>82</v>
      </c>
    </row>
    <row r="26" spans="1:31" x14ac:dyDescent="0.25">
      <c r="A26" s="2" t="s">
        <v>236</v>
      </c>
      <c r="B26" s="2">
        <v>15</v>
      </c>
      <c r="C26" s="2">
        <v>85</v>
      </c>
      <c r="D26">
        <v>0</v>
      </c>
      <c r="E26" s="32">
        <f t="shared" si="0"/>
        <v>100</v>
      </c>
      <c r="Q26" s="2" t="s">
        <v>236</v>
      </c>
      <c r="R26" s="3">
        <v>12</v>
      </c>
      <c r="S26" s="3">
        <v>88</v>
      </c>
      <c r="Y26" s="2" t="s">
        <v>238</v>
      </c>
      <c r="Z26" s="2">
        <v>20</v>
      </c>
      <c r="AA26" s="2">
        <v>80</v>
      </c>
    </row>
    <row r="27" spans="1:31" x14ac:dyDescent="0.25">
      <c r="A27" s="2" t="s">
        <v>236</v>
      </c>
      <c r="B27" s="2">
        <v>15</v>
      </c>
      <c r="C27" s="2">
        <v>25</v>
      </c>
      <c r="D27">
        <v>60</v>
      </c>
      <c r="E27" s="32">
        <f t="shared" si="0"/>
        <v>100</v>
      </c>
      <c r="Q27" s="2" t="s">
        <v>236</v>
      </c>
      <c r="R27" s="2">
        <v>15</v>
      </c>
      <c r="S27" s="2">
        <v>85</v>
      </c>
      <c r="Y27" s="2" t="s">
        <v>238</v>
      </c>
      <c r="Z27" s="2">
        <v>20</v>
      </c>
      <c r="AA27" s="2">
        <v>80</v>
      </c>
    </row>
    <row r="28" spans="1:31" x14ac:dyDescent="0.25">
      <c r="A28" s="2" t="s">
        <v>236</v>
      </c>
      <c r="B28" s="2">
        <v>15</v>
      </c>
      <c r="C28" s="2">
        <v>75</v>
      </c>
      <c r="D28">
        <v>10</v>
      </c>
      <c r="E28" s="32">
        <f t="shared" si="0"/>
        <v>100</v>
      </c>
      <c r="Q28" s="2" t="s">
        <v>236</v>
      </c>
      <c r="R28" s="2">
        <v>15</v>
      </c>
      <c r="S28" s="2">
        <v>25</v>
      </c>
      <c r="Y28" s="2" t="s">
        <v>238</v>
      </c>
      <c r="Z28" s="2">
        <v>24</v>
      </c>
      <c r="AA28" s="2">
        <v>65</v>
      </c>
    </row>
    <row r="29" spans="1:31" x14ac:dyDescent="0.25">
      <c r="A29" s="2" t="s">
        <v>236</v>
      </c>
      <c r="B29" s="2">
        <v>15</v>
      </c>
      <c r="C29" s="2">
        <v>50</v>
      </c>
      <c r="D29">
        <v>35</v>
      </c>
      <c r="E29" s="32">
        <f t="shared" si="0"/>
        <v>100</v>
      </c>
      <c r="Q29" s="2" t="s">
        <v>236</v>
      </c>
      <c r="R29" s="2">
        <v>15</v>
      </c>
      <c r="S29" s="2">
        <v>75</v>
      </c>
      <c r="Y29" s="2" t="s">
        <v>238</v>
      </c>
      <c r="Z29" s="2">
        <v>25</v>
      </c>
      <c r="AA29" s="2">
        <v>75</v>
      </c>
    </row>
    <row r="30" spans="1:31" x14ac:dyDescent="0.25">
      <c r="A30" s="2" t="s">
        <v>236</v>
      </c>
      <c r="B30" s="2">
        <v>15</v>
      </c>
      <c r="C30" s="2">
        <v>50</v>
      </c>
      <c r="D30">
        <v>35</v>
      </c>
      <c r="E30" s="32">
        <f t="shared" si="0"/>
        <v>100</v>
      </c>
      <c r="Q30" s="2" t="s">
        <v>236</v>
      </c>
      <c r="R30" s="2">
        <v>15</v>
      </c>
      <c r="S30" s="2">
        <v>50</v>
      </c>
      <c r="Y30" s="2" t="s">
        <v>238</v>
      </c>
      <c r="Z30" s="2">
        <v>25</v>
      </c>
      <c r="AA30" s="2">
        <v>75</v>
      </c>
    </row>
    <row r="31" spans="1:31" x14ac:dyDescent="0.25">
      <c r="A31" s="2" t="s">
        <v>236</v>
      </c>
      <c r="B31" s="2">
        <v>15</v>
      </c>
      <c r="C31" s="2">
        <v>15</v>
      </c>
      <c r="D31">
        <v>70</v>
      </c>
      <c r="E31" s="32">
        <f t="shared" si="0"/>
        <v>100</v>
      </c>
      <c r="Q31" s="2" t="s">
        <v>236</v>
      </c>
      <c r="R31" s="2">
        <v>15</v>
      </c>
      <c r="S31" s="2">
        <v>50</v>
      </c>
      <c r="Y31" s="2" t="s">
        <v>238</v>
      </c>
      <c r="Z31" s="2">
        <v>26</v>
      </c>
      <c r="AA31" s="2">
        <v>43</v>
      </c>
    </row>
    <row r="32" spans="1:31" x14ac:dyDescent="0.25">
      <c r="A32" s="2" t="s">
        <v>236</v>
      </c>
      <c r="B32" s="2">
        <v>20</v>
      </c>
      <c r="C32" s="2">
        <v>15</v>
      </c>
      <c r="D32">
        <v>65</v>
      </c>
      <c r="E32" s="32">
        <f t="shared" si="0"/>
        <v>100</v>
      </c>
      <c r="Q32" s="2" t="s">
        <v>236</v>
      </c>
      <c r="R32" s="2">
        <v>15</v>
      </c>
      <c r="S32" s="2">
        <v>15</v>
      </c>
      <c r="Y32" s="2" t="s">
        <v>238</v>
      </c>
      <c r="Z32" s="2">
        <v>29</v>
      </c>
      <c r="AA32" s="2">
        <v>70</v>
      </c>
    </row>
    <row r="33" spans="1:27" x14ac:dyDescent="0.25">
      <c r="A33" s="2" t="s">
        <v>236</v>
      </c>
      <c r="B33" s="2">
        <v>20</v>
      </c>
      <c r="C33" s="2">
        <v>50</v>
      </c>
      <c r="D33">
        <v>30</v>
      </c>
      <c r="E33" s="32">
        <f t="shared" si="0"/>
        <v>100</v>
      </c>
      <c r="Q33" s="2" t="s">
        <v>236</v>
      </c>
      <c r="R33" s="2">
        <v>20</v>
      </c>
      <c r="S33" s="2">
        <v>15</v>
      </c>
      <c r="Y33" s="2" t="s">
        <v>238</v>
      </c>
      <c r="Z33" s="2">
        <v>29</v>
      </c>
      <c r="AA33" s="2">
        <v>23</v>
      </c>
    </row>
    <row r="34" spans="1:27" x14ac:dyDescent="0.25">
      <c r="A34" s="2" t="s">
        <v>236</v>
      </c>
      <c r="B34" s="2">
        <v>20</v>
      </c>
      <c r="C34" s="2">
        <v>25</v>
      </c>
      <c r="D34">
        <v>55</v>
      </c>
      <c r="E34" s="32">
        <f t="shared" si="0"/>
        <v>100</v>
      </c>
      <c r="Q34" s="2" t="s">
        <v>236</v>
      </c>
      <c r="R34" s="2">
        <v>20</v>
      </c>
      <c r="S34" s="2">
        <v>50</v>
      </c>
      <c r="Y34" s="2" t="s">
        <v>238</v>
      </c>
      <c r="Z34" s="2">
        <v>30</v>
      </c>
      <c r="AA34" s="2">
        <v>70</v>
      </c>
    </row>
    <row r="35" spans="1:27" x14ac:dyDescent="0.25">
      <c r="A35" s="2" t="s">
        <v>236</v>
      </c>
      <c r="B35" s="2">
        <v>26</v>
      </c>
      <c r="C35" s="2">
        <v>50</v>
      </c>
      <c r="D35">
        <v>24</v>
      </c>
      <c r="E35" s="32">
        <f t="shared" si="0"/>
        <v>100</v>
      </c>
      <c r="Q35" s="2" t="s">
        <v>236</v>
      </c>
      <c r="R35" s="2">
        <v>20</v>
      </c>
      <c r="S35" s="2">
        <v>25</v>
      </c>
      <c r="Y35" s="2" t="s">
        <v>238</v>
      </c>
      <c r="Z35" s="2">
        <v>30</v>
      </c>
      <c r="AA35" s="2">
        <v>70</v>
      </c>
    </row>
    <row r="36" spans="1:27" x14ac:dyDescent="0.25">
      <c r="A36" s="2" t="s">
        <v>236</v>
      </c>
      <c r="B36" s="2">
        <v>50</v>
      </c>
      <c r="C36" s="2">
        <v>50</v>
      </c>
      <c r="D36">
        <v>0</v>
      </c>
      <c r="E36" s="32">
        <f t="shared" si="0"/>
        <v>100</v>
      </c>
      <c r="Q36" s="2" t="s">
        <v>236</v>
      </c>
      <c r="R36" s="2">
        <v>26</v>
      </c>
      <c r="S36" s="2">
        <v>50</v>
      </c>
      <c r="Y36" s="2" t="s">
        <v>238</v>
      </c>
      <c r="Z36" s="2">
        <v>30</v>
      </c>
      <c r="AA36" s="2">
        <v>70</v>
      </c>
    </row>
    <row r="37" spans="1:27" x14ac:dyDescent="0.25">
      <c r="A37" s="2" t="s">
        <v>237</v>
      </c>
      <c r="B37" s="2">
        <v>20</v>
      </c>
      <c r="C37" s="2">
        <v>80</v>
      </c>
      <c r="D37">
        <v>0</v>
      </c>
      <c r="E37" s="32">
        <f t="shared" ref="E37:E68" si="2">SUM(B37:D37)</f>
        <v>100</v>
      </c>
      <c r="Q37" s="2" t="s">
        <v>236</v>
      </c>
      <c r="R37" s="2">
        <v>50</v>
      </c>
      <c r="S37" s="2">
        <v>50</v>
      </c>
      <c r="Y37" s="2" t="s">
        <v>238</v>
      </c>
      <c r="Z37" s="2">
        <v>30</v>
      </c>
      <c r="AA37" s="2">
        <v>30</v>
      </c>
    </row>
    <row r="38" spans="1:27" x14ac:dyDescent="0.25">
      <c r="A38" s="2" t="s">
        <v>237</v>
      </c>
      <c r="B38" s="2">
        <v>20</v>
      </c>
      <c r="C38" s="2">
        <v>70</v>
      </c>
      <c r="D38">
        <v>10</v>
      </c>
      <c r="E38" s="32">
        <f t="shared" si="2"/>
        <v>100</v>
      </c>
      <c r="Y38" s="2" t="s">
        <v>238</v>
      </c>
      <c r="Z38" s="2">
        <v>30</v>
      </c>
      <c r="AA38" s="2">
        <v>70</v>
      </c>
    </row>
    <row r="39" spans="1:27" x14ac:dyDescent="0.25">
      <c r="A39" s="2" t="s">
        <v>237</v>
      </c>
      <c r="B39" s="2">
        <v>25</v>
      </c>
      <c r="C39" s="2">
        <v>50</v>
      </c>
      <c r="D39">
        <v>25</v>
      </c>
      <c r="E39" s="32">
        <f t="shared" si="2"/>
        <v>100</v>
      </c>
      <c r="R39">
        <f>SUM(R6:R38)</f>
        <v>366</v>
      </c>
      <c r="S39" s="19">
        <f>SUM(S6:S38)</f>
        <v>1351</v>
      </c>
      <c r="Y39" s="2" t="s">
        <v>238</v>
      </c>
      <c r="Z39" s="2">
        <v>35</v>
      </c>
      <c r="AA39" s="2">
        <v>65</v>
      </c>
    </row>
    <row r="40" spans="1:27" x14ac:dyDescent="0.25">
      <c r="A40" s="2" t="s">
        <v>237</v>
      </c>
      <c r="B40" s="2">
        <v>25</v>
      </c>
      <c r="C40" s="2">
        <v>75</v>
      </c>
      <c r="D40">
        <v>0</v>
      </c>
      <c r="E40" s="32">
        <f t="shared" si="2"/>
        <v>100</v>
      </c>
      <c r="H40" s="19" t="s">
        <v>588</v>
      </c>
      <c r="J40" s="33" t="s">
        <v>294</v>
      </c>
      <c r="K40" s="33" t="s">
        <v>274</v>
      </c>
      <c r="L40" s="33" t="s">
        <v>295</v>
      </c>
      <c r="M40" s="33" t="s">
        <v>282</v>
      </c>
      <c r="Y40" s="2" t="s">
        <v>238</v>
      </c>
      <c r="Z40" s="2">
        <v>36</v>
      </c>
      <c r="AA40" s="2">
        <v>64</v>
      </c>
    </row>
    <row r="41" spans="1:27" x14ac:dyDescent="0.25">
      <c r="A41" s="2" t="s">
        <v>237</v>
      </c>
      <c r="B41" s="2">
        <v>40</v>
      </c>
      <c r="C41" s="2">
        <v>60</v>
      </c>
      <c r="D41">
        <v>0</v>
      </c>
      <c r="E41" s="32">
        <f t="shared" si="2"/>
        <v>100</v>
      </c>
      <c r="H41" s="19" t="s">
        <v>581</v>
      </c>
      <c r="I41">
        <f t="shared" ref="I41:I47" si="3">SUM(J41:M41)</f>
        <v>5</v>
      </c>
      <c r="J41">
        <v>0</v>
      </c>
      <c r="K41">
        <v>0</v>
      </c>
      <c r="L41">
        <v>5</v>
      </c>
      <c r="M41">
        <v>0</v>
      </c>
      <c r="Y41" s="2" t="s">
        <v>238</v>
      </c>
      <c r="Z41" s="2">
        <v>40</v>
      </c>
      <c r="AA41" s="2">
        <v>40</v>
      </c>
    </row>
    <row r="42" spans="1:27" x14ac:dyDescent="0.25">
      <c r="A42" s="2" t="s">
        <v>238</v>
      </c>
      <c r="B42" s="2">
        <v>0</v>
      </c>
      <c r="C42" s="2">
        <v>100</v>
      </c>
      <c r="D42">
        <v>0</v>
      </c>
      <c r="E42" s="32">
        <f t="shared" si="2"/>
        <v>100</v>
      </c>
      <c r="H42" s="19" t="s">
        <v>582</v>
      </c>
      <c r="I42" s="19">
        <f t="shared" si="3"/>
        <v>22</v>
      </c>
      <c r="J42">
        <v>11</v>
      </c>
      <c r="K42">
        <v>0</v>
      </c>
      <c r="L42">
        <v>9</v>
      </c>
      <c r="M42">
        <v>2</v>
      </c>
      <c r="R42" s="19" t="s">
        <v>588</v>
      </c>
      <c r="S42" s="33" t="s">
        <v>294</v>
      </c>
      <c r="T42" s="33" t="s">
        <v>274</v>
      </c>
      <c r="U42" s="33" t="s">
        <v>295</v>
      </c>
      <c r="V42" s="33" t="s">
        <v>282</v>
      </c>
      <c r="Y42" s="2" t="s">
        <v>238</v>
      </c>
      <c r="Z42" s="2">
        <v>40</v>
      </c>
      <c r="AA42" s="2">
        <v>60</v>
      </c>
    </row>
    <row r="43" spans="1:27" x14ac:dyDescent="0.25">
      <c r="A43" s="2" t="s">
        <v>238</v>
      </c>
      <c r="B43" s="2">
        <v>0</v>
      </c>
      <c r="C43" s="2">
        <v>0</v>
      </c>
      <c r="D43">
        <v>100</v>
      </c>
      <c r="E43" s="32">
        <f t="shared" si="2"/>
        <v>100</v>
      </c>
      <c r="H43" s="19" t="s">
        <v>583</v>
      </c>
      <c r="I43" s="19">
        <f t="shared" si="3"/>
        <v>37</v>
      </c>
      <c r="J43">
        <v>19</v>
      </c>
      <c r="K43">
        <v>4</v>
      </c>
      <c r="L43">
        <v>11</v>
      </c>
      <c r="M43">
        <v>3</v>
      </c>
      <c r="R43" s="19" t="s">
        <v>581</v>
      </c>
      <c r="S43" s="19">
        <v>0</v>
      </c>
      <c r="T43" s="19">
        <v>0</v>
      </c>
      <c r="U43" s="19">
        <v>5</v>
      </c>
      <c r="V43" s="19">
        <v>0</v>
      </c>
      <c r="Y43" s="2" t="s">
        <v>238</v>
      </c>
      <c r="Z43" s="2">
        <v>40</v>
      </c>
      <c r="AA43" s="2">
        <v>55</v>
      </c>
    </row>
    <row r="44" spans="1:27" x14ac:dyDescent="0.25">
      <c r="A44" s="2" t="s">
        <v>238</v>
      </c>
      <c r="B44" s="2">
        <v>0</v>
      </c>
      <c r="C44" s="2">
        <v>3</v>
      </c>
      <c r="D44">
        <v>97</v>
      </c>
      <c r="E44" s="32">
        <f t="shared" si="2"/>
        <v>100</v>
      </c>
      <c r="H44" s="19" t="s">
        <v>584</v>
      </c>
      <c r="I44" s="19">
        <f t="shared" si="3"/>
        <v>24</v>
      </c>
      <c r="J44">
        <v>2</v>
      </c>
      <c r="K44">
        <v>1</v>
      </c>
      <c r="L44">
        <v>16</v>
      </c>
      <c r="M44">
        <v>5</v>
      </c>
      <c r="R44" s="19" t="s">
        <v>582</v>
      </c>
      <c r="S44" s="19">
        <v>11</v>
      </c>
      <c r="T44" s="19">
        <v>0</v>
      </c>
      <c r="U44" s="19">
        <v>9</v>
      </c>
      <c r="V44" s="19">
        <v>2</v>
      </c>
      <c r="Y44" s="2" t="s">
        <v>238</v>
      </c>
      <c r="Z44" s="2">
        <v>50</v>
      </c>
      <c r="AA44" s="2">
        <v>25</v>
      </c>
    </row>
    <row r="45" spans="1:27" x14ac:dyDescent="0.25">
      <c r="A45" s="2" t="s">
        <v>238</v>
      </c>
      <c r="B45" s="2">
        <v>0</v>
      </c>
      <c r="C45" s="2">
        <v>36</v>
      </c>
      <c r="D45">
        <v>64</v>
      </c>
      <c r="E45" s="32">
        <f t="shared" si="2"/>
        <v>100</v>
      </c>
      <c r="H45" s="19" t="s">
        <v>585</v>
      </c>
      <c r="I45" s="19">
        <f t="shared" si="3"/>
        <v>20</v>
      </c>
      <c r="J45">
        <v>0</v>
      </c>
      <c r="K45" s="19">
        <v>0</v>
      </c>
      <c r="L45">
        <v>18</v>
      </c>
      <c r="M45">
        <v>2</v>
      </c>
      <c r="R45" s="19" t="s">
        <v>583</v>
      </c>
      <c r="S45" s="19">
        <v>19</v>
      </c>
      <c r="T45" s="19">
        <v>4</v>
      </c>
      <c r="U45" s="19">
        <v>11</v>
      </c>
      <c r="V45" s="19">
        <v>3</v>
      </c>
      <c r="Y45" s="2" t="s">
        <v>238</v>
      </c>
      <c r="Z45" s="2">
        <v>50</v>
      </c>
      <c r="AA45" s="2">
        <v>10</v>
      </c>
    </row>
    <row r="46" spans="1:27" x14ac:dyDescent="0.25">
      <c r="A46" s="2" t="s">
        <v>238</v>
      </c>
      <c r="B46" s="2">
        <v>0</v>
      </c>
      <c r="C46" s="2">
        <v>100</v>
      </c>
      <c r="D46">
        <v>0</v>
      </c>
      <c r="E46" s="32">
        <f t="shared" si="2"/>
        <v>100</v>
      </c>
      <c r="H46" s="19" t="s">
        <v>586</v>
      </c>
      <c r="I46" s="19">
        <f t="shared" si="3"/>
        <v>17</v>
      </c>
      <c r="J46">
        <v>0</v>
      </c>
      <c r="K46" s="19">
        <v>0</v>
      </c>
      <c r="L46">
        <v>16</v>
      </c>
      <c r="M46">
        <v>1</v>
      </c>
      <c r="R46" s="19" t="s">
        <v>584</v>
      </c>
      <c r="S46" s="19">
        <v>2</v>
      </c>
      <c r="T46" s="19">
        <v>1</v>
      </c>
      <c r="U46" s="19">
        <v>16</v>
      </c>
      <c r="V46" s="19">
        <v>5</v>
      </c>
      <c r="Y46" s="2" t="s">
        <v>238</v>
      </c>
      <c r="Z46" s="2">
        <v>50</v>
      </c>
      <c r="AA46" s="2">
        <v>25</v>
      </c>
    </row>
    <row r="47" spans="1:27" x14ac:dyDescent="0.25">
      <c r="A47" s="2" t="s">
        <v>238</v>
      </c>
      <c r="B47" s="2">
        <v>1</v>
      </c>
      <c r="C47" s="2">
        <v>96</v>
      </c>
      <c r="D47">
        <v>3</v>
      </c>
      <c r="E47" s="32">
        <f t="shared" si="2"/>
        <v>100</v>
      </c>
      <c r="H47" s="19" t="s">
        <v>587</v>
      </c>
      <c r="I47" s="19">
        <f t="shared" si="3"/>
        <v>1</v>
      </c>
      <c r="J47">
        <v>0</v>
      </c>
      <c r="K47">
        <v>0</v>
      </c>
      <c r="L47">
        <v>1</v>
      </c>
      <c r="M47">
        <v>0</v>
      </c>
      <c r="R47" s="19" t="s">
        <v>585</v>
      </c>
      <c r="S47" s="19">
        <v>0</v>
      </c>
      <c r="T47" s="19">
        <v>0</v>
      </c>
      <c r="U47" s="19">
        <v>18</v>
      </c>
      <c r="V47" s="19">
        <v>2</v>
      </c>
      <c r="Y47" s="2" t="s">
        <v>238</v>
      </c>
      <c r="Z47" s="2">
        <v>50</v>
      </c>
      <c r="AA47" s="2">
        <v>50</v>
      </c>
    </row>
    <row r="48" spans="1:27" x14ac:dyDescent="0.25">
      <c r="A48" s="2" t="s">
        <v>238</v>
      </c>
      <c r="B48" s="2">
        <v>1</v>
      </c>
      <c r="C48" s="2">
        <v>99</v>
      </c>
      <c r="D48">
        <v>0</v>
      </c>
      <c r="E48" s="32">
        <f t="shared" si="2"/>
        <v>100</v>
      </c>
      <c r="R48" s="19" t="s">
        <v>586</v>
      </c>
      <c r="S48" s="19">
        <v>0</v>
      </c>
      <c r="T48" s="19">
        <v>0</v>
      </c>
      <c r="U48" s="19">
        <v>16</v>
      </c>
      <c r="V48" s="19">
        <v>1</v>
      </c>
      <c r="Y48" s="2" t="s">
        <v>238</v>
      </c>
      <c r="Z48" s="2">
        <v>52</v>
      </c>
      <c r="AA48" s="2">
        <v>48</v>
      </c>
    </row>
    <row r="49" spans="1:27" x14ac:dyDescent="0.25">
      <c r="A49" s="2" t="s">
        <v>238</v>
      </c>
      <c r="B49" s="2">
        <v>2</v>
      </c>
      <c r="C49" s="2">
        <v>98</v>
      </c>
      <c r="D49">
        <v>0</v>
      </c>
      <c r="E49" s="32">
        <f t="shared" si="2"/>
        <v>100</v>
      </c>
      <c r="R49" s="19" t="s">
        <v>587</v>
      </c>
      <c r="S49" s="19">
        <v>0</v>
      </c>
      <c r="T49" s="19">
        <v>0</v>
      </c>
      <c r="U49" s="19">
        <v>1</v>
      </c>
      <c r="V49" s="19">
        <v>0</v>
      </c>
      <c r="Y49" s="2" t="s">
        <v>238</v>
      </c>
      <c r="Z49" s="2">
        <v>53</v>
      </c>
      <c r="AA49" s="2">
        <v>47</v>
      </c>
    </row>
    <row r="50" spans="1:27" x14ac:dyDescent="0.25">
      <c r="A50" s="2" t="s">
        <v>238</v>
      </c>
      <c r="B50" s="2">
        <v>5</v>
      </c>
      <c r="C50" s="2">
        <v>95</v>
      </c>
      <c r="D50">
        <v>0</v>
      </c>
      <c r="E50" s="32">
        <f t="shared" si="2"/>
        <v>100</v>
      </c>
      <c r="Y50" s="2" t="s">
        <v>238</v>
      </c>
      <c r="Z50" s="2">
        <v>56</v>
      </c>
      <c r="AA50" s="2">
        <v>44</v>
      </c>
    </row>
    <row r="51" spans="1:27" x14ac:dyDescent="0.25">
      <c r="A51" s="2" t="s">
        <v>238</v>
      </c>
      <c r="B51" s="2">
        <v>5</v>
      </c>
      <c r="C51" s="2">
        <v>95</v>
      </c>
      <c r="D51">
        <v>0</v>
      </c>
      <c r="E51" s="32">
        <f t="shared" si="2"/>
        <v>100</v>
      </c>
      <c r="Y51" s="2" t="s">
        <v>238</v>
      </c>
      <c r="Z51" s="2">
        <v>60</v>
      </c>
      <c r="AA51" s="2">
        <v>40</v>
      </c>
    </row>
    <row r="52" spans="1:27" x14ac:dyDescent="0.25">
      <c r="A52" s="2" t="s">
        <v>238</v>
      </c>
      <c r="B52" s="2">
        <v>5</v>
      </c>
      <c r="C52" s="2">
        <v>50</v>
      </c>
      <c r="D52">
        <v>45</v>
      </c>
      <c r="E52" s="32">
        <f t="shared" si="2"/>
        <v>100</v>
      </c>
      <c r="Y52" s="2" t="s">
        <v>238</v>
      </c>
      <c r="Z52" s="2">
        <v>60</v>
      </c>
      <c r="AA52" s="2">
        <v>40</v>
      </c>
    </row>
    <row r="53" spans="1:27" x14ac:dyDescent="0.25">
      <c r="A53" s="2" t="s">
        <v>238</v>
      </c>
      <c r="B53" s="2">
        <v>5</v>
      </c>
      <c r="C53" s="2">
        <v>95</v>
      </c>
      <c r="D53">
        <v>0</v>
      </c>
      <c r="E53" s="32">
        <f t="shared" si="2"/>
        <v>100</v>
      </c>
      <c r="Y53" s="2" t="s">
        <v>238</v>
      </c>
      <c r="Z53" s="2">
        <v>60</v>
      </c>
      <c r="AA53" s="2">
        <v>20</v>
      </c>
    </row>
    <row r="54" spans="1:27" x14ac:dyDescent="0.25">
      <c r="A54" s="2" t="s">
        <v>238</v>
      </c>
      <c r="B54" s="2">
        <v>5</v>
      </c>
      <c r="C54" s="2">
        <v>95</v>
      </c>
      <c r="D54">
        <v>0</v>
      </c>
      <c r="E54" s="32">
        <f t="shared" si="2"/>
        <v>100</v>
      </c>
      <c r="Y54" s="2" t="s">
        <v>238</v>
      </c>
      <c r="Z54" s="2">
        <v>63</v>
      </c>
      <c r="AA54" s="2">
        <v>28</v>
      </c>
    </row>
    <row r="55" spans="1:27" x14ac:dyDescent="0.25">
      <c r="A55" s="2" t="s">
        <v>238</v>
      </c>
      <c r="B55" s="2">
        <v>5</v>
      </c>
      <c r="C55" s="2">
        <v>10</v>
      </c>
      <c r="D55">
        <v>85</v>
      </c>
      <c r="E55" s="32">
        <f t="shared" si="2"/>
        <v>100</v>
      </c>
      <c r="Y55" s="2" t="s">
        <v>238</v>
      </c>
      <c r="Z55" s="2">
        <v>63</v>
      </c>
      <c r="AA55" s="2">
        <v>37</v>
      </c>
    </row>
    <row r="56" spans="1:27" x14ac:dyDescent="0.25">
      <c r="A56" s="2" t="s">
        <v>238</v>
      </c>
      <c r="B56" s="2">
        <v>10</v>
      </c>
      <c r="C56" s="2">
        <v>90</v>
      </c>
      <c r="D56">
        <v>0</v>
      </c>
      <c r="E56" s="32">
        <f t="shared" si="2"/>
        <v>100</v>
      </c>
      <c r="Y56" s="2" t="s">
        <v>238</v>
      </c>
      <c r="Z56" s="2">
        <v>65</v>
      </c>
      <c r="AA56" s="2">
        <v>35</v>
      </c>
    </row>
    <row r="57" spans="1:27" x14ac:dyDescent="0.25">
      <c r="A57" s="2" t="s">
        <v>238</v>
      </c>
      <c r="B57" s="2">
        <v>10</v>
      </c>
      <c r="C57" s="2">
        <v>90</v>
      </c>
      <c r="D57">
        <v>0</v>
      </c>
      <c r="E57" s="32">
        <f t="shared" si="2"/>
        <v>100</v>
      </c>
      <c r="Y57" s="2" t="s">
        <v>238</v>
      </c>
      <c r="Z57" s="2">
        <v>70</v>
      </c>
      <c r="AA57" s="2">
        <v>30</v>
      </c>
    </row>
    <row r="58" spans="1:27" x14ac:dyDescent="0.25">
      <c r="A58" s="2" t="s">
        <v>238</v>
      </c>
      <c r="B58" s="2">
        <v>10</v>
      </c>
      <c r="C58" s="2">
        <v>90</v>
      </c>
      <c r="D58">
        <v>0</v>
      </c>
      <c r="E58" s="32">
        <f t="shared" si="2"/>
        <v>100</v>
      </c>
      <c r="Y58" s="2" t="s">
        <v>238</v>
      </c>
      <c r="Z58" s="2">
        <v>70</v>
      </c>
      <c r="AA58" s="2">
        <v>30</v>
      </c>
    </row>
    <row r="59" spans="1:27" x14ac:dyDescent="0.25">
      <c r="A59" s="2" t="s">
        <v>238</v>
      </c>
      <c r="B59" s="2">
        <v>10</v>
      </c>
      <c r="C59" s="2">
        <v>90</v>
      </c>
      <c r="D59">
        <v>0</v>
      </c>
      <c r="E59" s="32">
        <f t="shared" si="2"/>
        <v>100</v>
      </c>
      <c r="Y59" s="2" t="s">
        <v>238</v>
      </c>
      <c r="Z59" s="2">
        <v>70</v>
      </c>
      <c r="AA59" s="2">
        <v>30</v>
      </c>
    </row>
    <row r="60" spans="1:27" x14ac:dyDescent="0.25">
      <c r="A60" s="2" t="s">
        <v>238</v>
      </c>
      <c r="B60" s="2">
        <v>10</v>
      </c>
      <c r="C60" s="2">
        <v>90</v>
      </c>
      <c r="D60">
        <v>0</v>
      </c>
      <c r="E60" s="32">
        <f t="shared" si="2"/>
        <v>100</v>
      </c>
      <c r="Y60" s="2" t="s">
        <v>238</v>
      </c>
      <c r="Z60" s="2">
        <v>71</v>
      </c>
      <c r="AA60" s="2">
        <v>29</v>
      </c>
    </row>
    <row r="61" spans="1:27" x14ac:dyDescent="0.25">
      <c r="A61" s="2" t="s">
        <v>238</v>
      </c>
      <c r="B61" s="2">
        <v>18</v>
      </c>
      <c r="C61" s="2">
        <v>82</v>
      </c>
      <c r="D61">
        <v>0</v>
      </c>
      <c r="E61" s="32">
        <f t="shared" si="2"/>
        <v>100</v>
      </c>
      <c r="Y61" s="2" t="s">
        <v>238</v>
      </c>
      <c r="Z61" s="2">
        <v>73</v>
      </c>
      <c r="AA61" s="2">
        <v>27</v>
      </c>
    </row>
    <row r="62" spans="1:27" x14ac:dyDescent="0.25">
      <c r="A62" s="2" t="s">
        <v>238</v>
      </c>
      <c r="B62" s="2">
        <v>20</v>
      </c>
      <c r="C62" s="2">
        <v>80</v>
      </c>
      <c r="D62">
        <v>0</v>
      </c>
      <c r="E62" s="32">
        <f t="shared" si="2"/>
        <v>100</v>
      </c>
      <c r="Y62" s="2" t="s">
        <v>238</v>
      </c>
      <c r="Z62" s="2">
        <v>75</v>
      </c>
      <c r="AA62" s="2">
        <v>25</v>
      </c>
    </row>
    <row r="63" spans="1:27" x14ac:dyDescent="0.25">
      <c r="A63" s="2" t="s">
        <v>238</v>
      </c>
      <c r="B63" s="2">
        <v>20</v>
      </c>
      <c r="C63" s="2">
        <v>80</v>
      </c>
      <c r="D63">
        <v>0</v>
      </c>
      <c r="E63" s="32">
        <f t="shared" si="2"/>
        <v>100</v>
      </c>
      <c r="Y63" s="2" t="s">
        <v>238</v>
      </c>
      <c r="Z63" s="2">
        <v>75</v>
      </c>
      <c r="AA63" s="2">
        <v>25</v>
      </c>
    </row>
    <row r="64" spans="1:27" x14ac:dyDescent="0.25">
      <c r="A64" s="2" t="s">
        <v>238</v>
      </c>
      <c r="B64" s="2">
        <v>24</v>
      </c>
      <c r="C64" s="2">
        <v>65</v>
      </c>
      <c r="D64">
        <v>11</v>
      </c>
      <c r="E64" s="32">
        <f t="shared" si="2"/>
        <v>100</v>
      </c>
      <c r="Y64" s="2" t="s">
        <v>238</v>
      </c>
      <c r="Z64" s="2">
        <v>75</v>
      </c>
      <c r="AA64" s="2">
        <v>25</v>
      </c>
    </row>
    <row r="65" spans="1:27" x14ac:dyDescent="0.25">
      <c r="A65" s="2" t="s">
        <v>238</v>
      </c>
      <c r="B65" s="2">
        <v>25</v>
      </c>
      <c r="C65" s="2">
        <v>75</v>
      </c>
      <c r="D65">
        <v>0</v>
      </c>
      <c r="E65" s="32">
        <f t="shared" si="2"/>
        <v>100</v>
      </c>
      <c r="Y65" s="2" t="s">
        <v>238</v>
      </c>
      <c r="Z65" s="2">
        <v>75</v>
      </c>
      <c r="AA65" s="2">
        <v>25</v>
      </c>
    </row>
    <row r="66" spans="1:27" x14ac:dyDescent="0.25">
      <c r="A66" s="2" t="s">
        <v>238</v>
      </c>
      <c r="B66" s="2">
        <v>25</v>
      </c>
      <c r="C66" s="2">
        <v>75</v>
      </c>
      <c r="D66">
        <v>0</v>
      </c>
      <c r="E66" s="32">
        <f t="shared" si="2"/>
        <v>100</v>
      </c>
      <c r="Y66" s="2" t="s">
        <v>238</v>
      </c>
      <c r="Z66" s="2">
        <v>80</v>
      </c>
      <c r="AA66" s="2">
        <v>20</v>
      </c>
    </row>
    <row r="67" spans="1:27" x14ac:dyDescent="0.25">
      <c r="A67" s="2" t="s">
        <v>238</v>
      </c>
      <c r="B67" s="2">
        <v>26</v>
      </c>
      <c r="C67" s="2">
        <v>43</v>
      </c>
      <c r="D67">
        <v>31</v>
      </c>
      <c r="E67" s="32">
        <f t="shared" si="2"/>
        <v>100</v>
      </c>
      <c r="Y67" s="2" t="s">
        <v>238</v>
      </c>
      <c r="Z67" s="2">
        <v>85</v>
      </c>
      <c r="AA67" s="2">
        <v>15</v>
      </c>
    </row>
    <row r="68" spans="1:27" x14ac:dyDescent="0.25">
      <c r="A68" s="2" t="s">
        <v>238</v>
      </c>
      <c r="B68" s="2">
        <v>29</v>
      </c>
      <c r="C68" s="2">
        <v>70</v>
      </c>
      <c r="D68">
        <v>1</v>
      </c>
      <c r="E68" s="32">
        <f t="shared" si="2"/>
        <v>100</v>
      </c>
      <c r="Y68" s="2" t="s">
        <v>238</v>
      </c>
      <c r="Z68" s="2">
        <v>85</v>
      </c>
      <c r="AA68" s="2">
        <v>15</v>
      </c>
    </row>
    <row r="69" spans="1:27" x14ac:dyDescent="0.25">
      <c r="A69" s="2" t="s">
        <v>238</v>
      </c>
      <c r="B69" s="2">
        <v>29</v>
      </c>
      <c r="C69" s="2">
        <v>23</v>
      </c>
      <c r="D69">
        <v>48</v>
      </c>
      <c r="E69" s="32">
        <f t="shared" ref="E69:E100" si="4">SUM(B69:D69)</f>
        <v>100</v>
      </c>
      <c r="Y69" s="2" t="s">
        <v>238</v>
      </c>
      <c r="Z69" s="2">
        <v>85</v>
      </c>
      <c r="AA69" s="2">
        <v>15</v>
      </c>
    </row>
    <row r="70" spans="1:27" x14ac:dyDescent="0.25">
      <c r="A70" s="2" t="s">
        <v>238</v>
      </c>
      <c r="B70" s="2">
        <v>30</v>
      </c>
      <c r="C70" s="2">
        <v>70</v>
      </c>
      <c r="D70">
        <v>0</v>
      </c>
      <c r="E70" s="32">
        <f t="shared" si="4"/>
        <v>100</v>
      </c>
      <c r="Y70" s="2" t="s">
        <v>238</v>
      </c>
      <c r="Z70" s="2">
        <v>85</v>
      </c>
      <c r="AA70" s="2">
        <v>15</v>
      </c>
    </row>
    <row r="71" spans="1:27" x14ac:dyDescent="0.25">
      <c r="A71" s="2" t="s">
        <v>238</v>
      </c>
      <c r="B71" s="2">
        <v>30</v>
      </c>
      <c r="C71" s="2">
        <v>70</v>
      </c>
      <c r="D71">
        <v>0</v>
      </c>
      <c r="E71" s="32">
        <f t="shared" si="4"/>
        <v>100</v>
      </c>
      <c r="Y71" s="2" t="s">
        <v>238</v>
      </c>
      <c r="Z71" s="2">
        <v>85</v>
      </c>
      <c r="AA71" s="2">
        <v>15</v>
      </c>
    </row>
    <row r="72" spans="1:27" x14ac:dyDescent="0.25">
      <c r="A72" s="2" t="s">
        <v>238</v>
      </c>
      <c r="B72" s="2">
        <v>30</v>
      </c>
      <c r="C72" s="2">
        <v>70</v>
      </c>
      <c r="D72">
        <v>0</v>
      </c>
      <c r="E72" s="32">
        <f t="shared" si="4"/>
        <v>100</v>
      </c>
      <c r="Y72" s="2" t="s">
        <v>238</v>
      </c>
      <c r="Z72" s="2">
        <v>90</v>
      </c>
      <c r="AA72" s="2">
        <v>10</v>
      </c>
    </row>
    <row r="73" spans="1:27" x14ac:dyDescent="0.25">
      <c r="A73" s="2" t="s">
        <v>238</v>
      </c>
      <c r="B73" s="2">
        <v>30</v>
      </c>
      <c r="C73" s="2">
        <v>30</v>
      </c>
      <c r="D73">
        <v>40</v>
      </c>
      <c r="E73" s="32">
        <f t="shared" si="4"/>
        <v>100</v>
      </c>
      <c r="Y73" s="2" t="s">
        <v>238</v>
      </c>
      <c r="Z73" s="2">
        <v>90</v>
      </c>
      <c r="AA73" s="2">
        <v>10</v>
      </c>
    </row>
    <row r="74" spans="1:27" x14ac:dyDescent="0.25">
      <c r="A74" s="2" t="s">
        <v>238</v>
      </c>
      <c r="B74" s="2">
        <v>30</v>
      </c>
      <c r="C74" s="2">
        <v>70</v>
      </c>
      <c r="D74">
        <v>0</v>
      </c>
      <c r="E74" s="32">
        <f t="shared" si="4"/>
        <v>100</v>
      </c>
      <c r="Y74" s="2" t="s">
        <v>238</v>
      </c>
      <c r="Z74" s="2">
        <v>90</v>
      </c>
      <c r="AA74" s="2">
        <v>10</v>
      </c>
    </row>
    <row r="75" spans="1:27" x14ac:dyDescent="0.25">
      <c r="A75" s="2" t="s">
        <v>238</v>
      </c>
      <c r="B75" s="2">
        <v>35</v>
      </c>
      <c r="C75" s="2">
        <v>65</v>
      </c>
      <c r="D75">
        <v>0</v>
      </c>
      <c r="E75" s="32">
        <f t="shared" si="4"/>
        <v>100</v>
      </c>
      <c r="Y75" s="3" t="s">
        <v>238</v>
      </c>
      <c r="Z75" s="3">
        <v>90</v>
      </c>
      <c r="AA75" s="3">
        <v>10</v>
      </c>
    </row>
    <row r="76" spans="1:27" x14ac:dyDescent="0.25">
      <c r="A76" s="2" t="s">
        <v>238</v>
      </c>
      <c r="B76" s="2">
        <v>36</v>
      </c>
      <c r="C76" s="2">
        <v>64</v>
      </c>
      <c r="D76">
        <v>0</v>
      </c>
      <c r="E76" s="32">
        <f t="shared" si="4"/>
        <v>100</v>
      </c>
      <c r="Y76" s="2" t="s">
        <v>238</v>
      </c>
      <c r="Z76" s="2">
        <v>95</v>
      </c>
      <c r="AA76" s="2">
        <v>5</v>
      </c>
    </row>
    <row r="77" spans="1:27" x14ac:dyDescent="0.25">
      <c r="A77" s="2" t="s">
        <v>238</v>
      </c>
      <c r="B77" s="2">
        <v>40</v>
      </c>
      <c r="C77" s="2">
        <v>40</v>
      </c>
      <c r="D77">
        <v>20</v>
      </c>
      <c r="E77" s="32">
        <f t="shared" si="4"/>
        <v>100</v>
      </c>
      <c r="Y77" s="2" t="s">
        <v>238</v>
      </c>
      <c r="Z77" s="2">
        <v>95</v>
      </c>
      <c r="AA77" s="2">
        <v>5</v>
      </c>
    </row>
    <row r="78" spans="1:27" x14ac:dyDescent="0.25">
      <c r="A78" s="2" t="s">
        <v>238</v>
      </c>
      <c r="B78" s="2">
        <v>40</v>
      </c>
      <c r="C78" s="2">
        <v>60</v>
      </c>
      <c r="D78">
        <v>0</v>
      </c>
      <c r="E78" s="32">
        <f t="shared" si="4"/>
        <v>100</v>
      </c>
      <c r="Y78" s="2" t="s">
        <v>238</v>
      </c>
      <c r="Z78" s="2">
        <v>95</v>
      </c>
      <c r="AA78" s="2">
        <v>5</v>
      </c>
    </row>
    <row r="79" spans="1:27" x14ac:dyDescent="0.25">
      <c r="A79" s="2" t="s">
        <v>238</v>
      </c>
      <c r="B79" s="2">
        <v>40</v>
      </c>
      <c r="C79" s="2">
        <v>55</v>
      </c>
      <c r="D79">
        <v>5</v>
      </c>
      <c r="E79" s="32">
        <f t="shared" si="4"/>
        <v>100</v>
      </c>
      <c r="Y79" s="2" t="s">
        <v>238</v>
      </c>
      <c r="Z79" s="2">
        <v>96</v>
      </c>
      <c r="AA79" s="2">
        <v>4</v>
      </c>
    </row>
    <row r="80" spans="1:27" x14ac:dyDescent="0.25">
      <c r="A80" s="2" t="s">
        <v>238</v>
      </c>
      <c r="B80" s="2">
        <v>50</v>
      </c>
      <c r="C80" s="2">
        <v>25</v>
      </c>
      <c r="D80">
        <v>25</v>
      </c>
      <c r="E80" s="32">
        <f t="shared" si="4"/>
        <v>100</v>
      </c>
      <c r="Y80" s="2" t="s">
        <v>238</v>
      </c>
      <c r="Z80" s="2">
        <v>97</v>
      </c>
      <c r="AA80" s="2">
        <v>3</v>
      </c>
    </row>
    <row r="81" spans="1:27" x14ac:dyDescent="0.25">
      <c r="A81" s="2" t="s">
        <v>238</v>
      </c>
      <c r="B81" s="2">
        <v>50</v>
      </c>
      <c r="C81" s="2">
        <v>10</v>
      </c>
      <c r="D81">
        <v>40</v>
      </c>
      <c r="E81" s="32">
        <f t="shared" si="4"/>
        <v>100</v>
      </c>
      <c r="Y81" s="2" t="s">
        <v>238</v>
      </c>
      <c r="Z81" s="2">
        <v>99</v>
      </c>
      <c r="AA81" s="2">
        <v>1</v>
      </c>
    </row>
    <row r="82" spans="1:27" x14ac:dyDescent="0.25">
      <c r="A82" s="2" t="s">
        <v>238</v>
      </c>
      <c r="B82" s="2">
        <v>50</v>
      </c>
      <c r="C82" s="2">
        <v>25</v>
      </c>
      <c r="D82">
        <v>25</v>
      </c>
      <c r="E82" s="32">
        <f t="shared" si="4"/>
        <v>100</v>
      </c>
      <c r="Y82" s="2" t="s">
        <v>238</v>
      </c>
      <c r="Z82" s="2">
        <v>100</v>
      </c>
      <c r="AA82" s="2">
        <v>0</v>
      </c>
    </row>
    <row r="83" spans="1:27" x14ac:dyDescent="0.25">
      <c r="A83" s="2" t="s">
        <v>238</v>
      </c>
      <c r="B83" s="2">
        <v>50</v>
      </c>
      <c r="C83" s="2">
        <v>50</v>
      </c>
      <c r="D83">
        <v>0</v>
      </c>
      <c r="E83" s="32">
        <f t="shared" si="4"/>
        <v>100</v>
      </c>
    </row>
    <row r="84" spans="1:27" x14ac:dyDescent="0.25">
      <c r="A84" s="2" t="s">
        <v>238</v>
      </c>
      <c r="B84" s="2">
        <v>52</v>
      </c>
      <c r="C84" s="2">
        <v>48</v>
      </c>
      <c r="D84">
        <v>0</v>
      </c>
      <c r="E84" s="32">
        <f t="shared" si="4"/>
        <v>100</v>
      </c>
      <c r="Z84">
        <f>SUM(Z6:Z83)</f>
        <v>3569</v>
      </c>
      <c r="AA84" s="19">
        <f>SUM(AA6:AA83)</f>
        <v>3462</v>
      </c>
    </row>
    <row r="85" spans="1:27" x14ac:dyDescent="0.25">
      <c r="A85" s="2" t="s">
        <v>238</v>
      </c>
      <c r="B85" s="2">
        <v>53</v>
      </c>
      <c r="C85" s="2">
        <v>47</v>
      </c>
      <c r="D85">
        <v>0</v>
      </c>
      <c r="E85" s="32">
        <f t="shared" si="4"/>
        <v>100</v>
      </c>
    </row>
    <row r="86" spans="1:27" x14ac:dyDescent="0.25">
      <c r="A86" s="2" t="s">
        <v>238</v>
      </c>
      <c r="B86" s="2">
        <v>56</v>
      </c>
      <c r="C86" s="2">
        <v>44</v>
      </c>
      <c r="D86">
        <v>0</v>
      </c>
      <c r="E86" s="32">
        <f t="shared" si="4"/>
        <v>100</v>
      </c>
    </row>
    <row r="87" spans="1:27" x14ac:dyDescent="0.25">
      <c r="A87" s="2" t="s">
        <v>238</v>
      </c>
      <c r="B87" s="2">
        <v>60</v>
      </c>
      <c r="C87" s="2">
        <v>40</v>
      </c>
      <c r="D87">
        <v>0</v>
      </c>
      <c r="E87" s="32">
        <f t="shared" si="4"/>
        <v>100</v>
      </c>
    </row>
    <row r="88" spans="1:27" x14ac:dyDescent="0.25">
      <c r="A88" s="2" t="s">
        <v>238</v>
      </c>
      <c r="B88" s="2">
        <v>60</v>
      </c>
      <c r="C88" s="2">
        <v>40</v>
      </c>
      <c r="D88">
        <v>0</v>
      </c>
      <c r="E88" s="32">
        <f t="shared" si="4"/>
        <v>100</v>
      </c>
    </row>
    <row r="89" spans="1:27" x14ac:dyDescent="0.25">
      <c r="A89" s="2" t="s">
        <v>238</v>
      </c>
      <c r="B89" s="2">
        <v>60</v>
      </c>
      <c r="C89" s="2">
        <v>20</v>
      </c>
      <c r="D89">
        <v>20</v>
      </c>
      <c r="E89" s="32">
        <f t="shared" si="4"/>
        <v>100</v>
      </c>
    </row>
    <row r="90" spans="1:27" x14ac:dyDescent="0.25">
      <c r="A90" s="2" t="s">
        <v>238</v>
      </c>
      <c r="B90" s="2">
        <v>63</v>
      </c>
      <c r="C90" s="2">
        <v>28</v>
      </c>
      <c r="D90">
        <v>9</v>
      </c>
      <c r="E90" s="32">
        <f t="shared" si="4"/>
        <v>100</v>
      </c>
    </row>
    <row r="91" spans="1:27" x14ac:dyDescent="0.25">
      <c r="A91" s="2" t="s">
        <v>238</v>
      </c>
      <c r="B91" s="2">
        <v>63</v>
      </c>
      <c r="C91" s="2">
        <v>37</v>
      </c>
      <c r="D91">
        <v>0</v>
      </c>
      <c r="E91" s="32">
        <f t="shared" si="4"/>
        <v>100</v>
      </c>
    </row>
    <row r="92" spans="1:27" x14ac:dyDescent="0.25">
      <c r="A92" s="2" t="s">
        <v>238</v>
      </c>
      <c r="B92" s="2">
        <v>65</v>
      </c>
      <c r="C92" s="2">
        <v>35</v>
      </c>
      <c r="D92">
        <v>0</v>
      </c>
      <c r="E92" s="32">
        <f t="shared" si="4"/>
        <v>100</v>
      </c>
    </row>
    <row r="93" spans="1:27" x14ac:dyDescent="0.25">
      <c r="A93" s="2" t="s">
        <v>238</v>
      </c>
      <c r="B93" s="2">
        <v>70</v>
      </c>
      <c r="C93" s="2">
        <v>30</v>
      </c>
      <c r="D93">
        <v>0</v>
      </c>
      <c r="E93" s="32">
        <f t="shared" si="4"/>
        <v>100</v>
      </c>
    </row>
    <row r="94" spans="1:27" x14ac:dyDescent="0.25">
      <c r="A94" s="2" t="s">
        <v>238</v>
      </c>
      <c r="B94" s="2">
        <v>70</v>
      </c>
      <c r="C94" s="2">
        <v>30</v>
      </c>
      <c r="D94">
        <v>0</v>
      </c>
      <c r="E94" s="32">
        <f t="shared" si="4"/>
        <v>100</v>
      </c>
    </row>
    <row r="95" spans="1:27" x14ac:dyDescent="0.25">
      <c r="A95" s="2" t="s">
        <v>238</v>
      </c>
      <c r="B95" s="2">
        <v>70</v>
      </c>
      <c r="C95" s="2">
        <v>30</v>
      </c>
      <c r="D95">
        <v>0</v>
      </c>
      <c r="E95" s="32">
        <f t="shared" si="4"/>
        <v>100</v>
      </c>
    </row>
    <row r="96" spans="1:27" x14ac:dyDescent="0.25">
      <c r="A96" s="2" t="s">
        <v>238</v>
      </c>
      <c r="B96" s="2">
        <v>71</v>
      </c>
      <c r="C96" s="2">
        <v>29</v>
      </c>
      <c r="D96">
        <v>0</v>
      </c>
      <c r="E96" s="32">
        <f t="shared" si="4"/>
        <v>100</v>
      </c>
    </row>
    <row r="97" spans="1:5" x14ac:dyDescent="0.25">
      <c r="A97" s="2" t="s">
        <v>238</v>
      </c>
      <c r="B97" s="2">
        <v>73</v>
      </c>
      <c r="C97" s="2">
        <v>27</v>
      </c>
      <c r="D97">
        <v>0</v>
      </c>
      <c r="E97" s="32">
        <f t="shared" si="4"/>
        <v>100</v>
      </c>
    </row>
    <row r="98" spans="1:5" x14ac:dyDescent="0.25">
      <c r="A98" s="2" t="s">
        <v>238</v>
      </c>
      <c r="B98" s="2">
        <v>75</v>
      </c>
      <c r="C98" s="2">
        <v>25</v>
      </c>
      <c r="D98">
        <v>0</v>
      </c>
      <c r="E98" s="32">
        <f t="shared" si="4"/>
        <v>100</v>
      </c>
    </row>
    <row r="99" spans="1:5" x14ac:dyDescent="0.25">
      <c r="A99" s="2" t="s">
        <v>238</v>
      </c>
      <c r="B99" s="2">
        <v>75</v>
      </c>
      <c r="C99" s="2">
        <v>25</v>
      </c>
      <c r="D99">
        <v>0</v>
      </c>
      <c r="E99" s="32">
        <f t="shared" si="4"/>
        <v>100</v>
      </c>
    </row>
    <row r="100" spans="1:5" x14ac:dyDescent="0.25">
      <c r="A100" s="2" t="s">
        <v>238</v>
      </c>
      <c r="B100" s="2">
        <v>75</v>
      </c>
      <c r="C100" s="2">
        <v>25</v>
      </c>
      <c r="D100">
        <v>0</v>
      </c>
      <c r="E100" s="32">
        <f t="shared" si="4"/>
        <v>100</v>
      </c>
    </row>
    <row r="101" spans="1:5" x14ac:dyDescent="0.25">
      <c r="A101" s="2" t="s">
        <v>238</v>
      </c>
      <c r="B101" s="2">
        <v>75</v>
      </c>
      <c r="C101" s="2">
        <v>25</v>
      </c>
      <c r="D101">
        <v>0</v>
      </c>
      <c r="E101" s="32">
        <f t="shared" ref="E101:E131" si="5">SUM(B101:D101)</f>
        <v>100</v>
      </c>
    </row>
    <row r="102" spans="1:5" x14ac:dyDescent="0.25">
      <c r="A102" s="2" t="s">
        <v>238</v>
      </c>
      <c r="B102" s="2">
        <v>80</v>
      </c>
      <c r="C102" s="2">
        <v>20</v>
      </c>
      <c r="D102">
        <v>0</v>
      </c>
      <c r="E102" s="32">
        <f t="shared" si="5"/>
        <v>100</v>
      </c>
    </row>
    <row r="103" spans="1:5" x14ac:dyDescent="0.25">
      <c r="A103" s="2" t="s">
        <v>238</v>
      </c>
      <c r="B103" s="2">
        <v>85</v>
      </c>
      <c r="C103" s="2">
        <v>15</v>
      </c>
      <c r="D103">
        <v>0</v>
      </c>
      <c r="E103" s="32">
        <f t="shared" si="5"/>
        <v>100</v>
      </c>
    </row>
    <row r="104" spans="1:5" x14ac:dyDescent="0.25">
      <c r="A104" s="2" t="s">
        <v>238</v>
      </c>
      <c r="B104" s="2">
        <v>85</v>
      </c>
      <c r="C104" s="2">
        <v>15</v>
      </c>
      <c r="D104">
        <v>0</v>
      </c>
      <c r="E104" s="32">
        <f t="shared" si="5"/>
        <v>100</v>
      </c>
    </row>
    <row r="105" spans="1:5" x14ac:dyDescent="0.25">
      <c r="A105" s="2" t="s">
        <v>238</v>
      </c>
      <c r="B105" s="2">
        <v>85</v>
      </c>
      <c r="C105" s="2">
        <v>15</v>
      </c>
      <c r="D105">
        <v>0</v>
      </c>
      <c r="E105" s="32">
        <f t="shared" si="5"/>
        <v>100</v>
      </c>
    </row>
    <row r="106" spans="1:5" x14ac:dyDescent="0.25">
      <c r="A106" s="2" t="s">
        <v>238</v>
      </c>
      <c r="B106" s="2">
        <v>85</v>
      </c>
      <c r="C106" s="2">
        <v>15</v>
      </c>
      <c r="D106">
        <v>0</v>
      </c>
      <c r="E106" s="32">
        <f t="shared" si="5"/>
        <v>100</v>
      </c>
    </row>
    <row r="107" spans="1:5" x14ac:dyDescent="0.25">
      <c r="A107" s="2" t="s">
        <v>238</v>
      </c>
      <c r="B107" s="2">
        <v>85</v>
      </c>
      <c r="C107" s="2">
        <v>15</v>
      </c>
      <c r="D107">
        <v>0</v>
      </c>
      <c r="E107" s="32">
        <f t="shared" si="5"/>
        <v>100</v>
      </c>
    </row>
    <row r="108" spans="1:5" x14ac:dyDescent="0.25">
      <c r="A108" s="2" t="s">
        <v>238</v>
      </c>
      <c r="B108" s="2">
        <v>90</v>
      </c>
      <c r="C108" s="2">
        <v>10</v>
      </c>
      <c r="D108">
        <v>0</v>
      </c>
      <c r="E108" s="32">
        <f t="shared" si="5"/>
        <v>100</v>
      </c>
    </row>
    <row r="109" spans="1:5" x14ac:dyDescent="0.25">
      <c r="A109" s="2" t="s">
        <v>238</v>
      </c>
      <c r="B109" s="2">
        <v>90</v>
      </c>
      <c r="C109" s="2">
        <v>10</v>
      </c>
      <c r="D109">
        <v>0</v>
      </c>
      <c r="E109" s="32">
        <f t="shared" si="5"/>
        <v>100</v>
      </c>
    </row>
    <row r="110" spans="1:5" x14ac:dyDescent="0.25">
      <c r="A110" s="2" t="s">
        <v>238</v>
      </c>
      <c r="B110" s="2">
        <v>90</v>
      </c>
      <c r="C110" s="2">
        <v>10</v>
      </c>
      <c r="D110">
        <v>0</v>
      </c>
      <c r="E110" s="32">
        <f t="shared" si="5"/>
        <v>100</v>
      </c>
    </row>
    <row r="111" spans="1:5" x14ac:dyDescent="0.25">
      <c r="A111" s="3" t="s">
        <v>238</v>
      </c>
      <c r="B111" s="3">
        <v>90</v>
      </c>
      <c r="C111" s="3">
        <v>10</v>
      </c>
      <c r="D111">
        <v>0</v>
      </c>
      <c r="E111" s="32">
        <f t="shared" si="5"/>
        <v>100</v>
      </c>
    </row>
    <row r="112" spans="1:5" x14ac:dyDescent="0.25">
      <c r="A112" s="2" t="s">
        <v>238</v>
      </c>
      <c r="B112" s="2">
        <v>95</v>
      </c>
      <c r="C112" s="2">
        <v>5</v>
      </c>
      <c r="D112">
        <v>0</v>
      </c>
      <c r="E112" s="32">
        <f t="shared" si="5"/>
        <v>100</v>
      </c>
    </row>
    <row r="113" spans="1:5" x14ac:dyDescent="0.25">
      <c r="A113" s="2" t="s">
        <v>238</v>
      </c>
      <c r="B113" s="2">
        <v>95</v>
      </c>
      <c r="C113" s="2">
        <v>5</v>
      </c>
      <c r="D113">
        <v>0</v>
      </c>
      <c r="E113" s="32">
        <f t="shared" si="5"/>
        <v>100</v>
      </c>
    </row>
    <row r="114" spans="1:5" x14ac:dyDescent="0.25">
      <c r="A114" s="2" t="s">
        <v>238</v>
      </c>
      <c r="B114" s="2">
        <v>95</v>
      </c>
      <c r="C114" s="2">
        <v>5</v>
      </c>
      <c r="D114">
        <v>0</v>
      </c>
      <c r="E114" s="32">
        <f t="shared" si="5"/>
        <v>100</v>
      </c>
    </row>
    <row r="115" spans="1:5" x14ac:dyDescent="0.25">
      <c r="A115" s="2" t="s">
        <v>238</v>
      </c>
      <c r="B115" s="2">
        <v>96</v>
      </c>
      <c r="C115" s="2">
        <v>4</v>
      </c>
      <c r="D115">
        <v>0</v>
      </c>
      <c r="E115" s="32">
        <f t="shared" si="5"/>
        <v>100</v>
      </c>
    </row>
    <row r="116" spans="1:5" x14ac:dyDescent="0.25">
      <c r="A116" s="2" t="s">
        <v>238</v>
      </c>
      <c r="B116" s="2">
        <v>97</v>
      </c>
      <c r="C116" s="2">
        <v>3</v>
      </c>
      <c r="D116">
        <v>0</v>
      </c>
      <c r="E116" s="32">
        <f t="shared" si="5"/>
        <v>100</v>
      </c>
    </row>
    <row r="117" spans="1:5" x14ac:dyDescent="0.25">
      <c r="A117" s="2" t="s">
        <v>238</v>
      </c>
      <c r="B117" s="2">
        <v>99</v>
      </c>
      <c r="C117" s="2">
        <v>1</v>
      </c>
      <c r="D117">
        <v>0</v>
      </c>
      <c r="E117" s="32">
        <f t="shared" si="5"/>
        <v>100</v>
      </c>
    </row>
    <row r="118" spans="1:5" x14ac:dyDescent="0.25">
      <c r="A118" s="2" t="s">
        <v>238</v>
      </c>
      <c r="B118" s="2">
        <v>100</v>
      </c>
      <c r="C118" s="2">
        <v>0</v>
      </c>
      <c r="D118">
        <v>0</v>
      </c>
      <c r="E118" s="32">
        <f t="shared" si="5"/>
        <v>100</v>
      </c>
    </row>
    <row r="119" spans="1:5" x14ac:dyDescent="0.25">
      <c r="A119" s="3" t="s">
        <v>215</v>
      </c>
      <c r="B119" s="3">
        <v>5</v>
      </c>
      <c r="C119" s="3">
        <v>75</v>
      </c>
      <c r="D119">
        <v>20</v>
      </c>
      <c r="E119" s="32">
        <f t="shared" si="5"/>
        <v>100</v>
      </c>
    </row>
    <row r="120" spans="1:5" x14ac:dyDescent="0.25">
      <c r="A120" s="2" t="s">
        <v>215</v>
      </c>
      <c r="B120" s="2">
        <v>5</v>
      </c>
      <c r="C120" s="2">
        <v>10</v>
      </c>
      <c r="D120">
        <v>85</v>
      </c>
      <c r="E120" s="32">
        <f t="shared" si="5"/>
        <v>100</v>
      </c>
    </row>
    <row r="121" spans="1:5" x14ac:dyDescent="0.25">
      <c r="A121" s="2" t="s">
        <v>215</v>
      </c>
      <c r="B121" s="2">
        <v>10</v>
      </c>
      <c r="C121" s="2">
        <v>90</v>
      </c>
      <c r="D121">
        <v>0</v>
      </c>
      <c r="E121" s="32">
        <f t="shared" si="5"/>
        <v>100</v>
      </c>
    </row>
    <row r="122" spans="1:5" x14ac:dyDescent="0.25">
      <c r="A122" s="2" t="s">
        <v>215</v>
      </c>
      <c r="B122" s="2">
        <v>15</v>
      </c>
      <c r="C122" s="2">
        <v>75</v>
      </c>
      <c r="D122">
        <v>10</v>
      </c>
      <c r="E122" s="32">
        <f t="shared" si="5"/>
        <v>100</v>
      </c>
    </row>
    <row r="123" spans="1:5" x14ac:dyDescent="0.25">
      <c r="A123" s="2" t="s">
        <v>215</v>
      </c>
      <c r="B123" s="2">
        <v>20</v>
      </c>
      <c r="C123" s="2">
        <v>80</v>
      </c>
      <c r="D123">
        <v>0</v>
      </c>
      <c r="E123" s="32">
        <f t="shared" si="5"/>
        <v>100</v>
      </c>
    </row>
    <row r="124" spans="1:5" x14ac:dyDescent="0.25">
      <c r="A124" s="2" t="s">
        <v>215</v>
      </c>
      <c r="B124" s="2">
        <v>26</v>
      </c>
      <c r="C124" s="2">
        <v>64</v>
      </c>
      <c r="D124">
        <v>10</v>
      </c>
      <c r="E124" s="32">
        <f t="shared" si="5"/>
        <v>100</v>
      </c>
    </row>
    <row r="125" spans="1:5" x14ac:dyDescent="0.25">
      <c r="A125" s="2" t="s">
        <v>215</v>
      </c>
      <c r="B125" s="2">
        <v>30</v>
      </c>
      <c r="C125" s="2">
        <v>70</v>
      </c>
      <c r="D125">
        <v>0</v>
      </c>
      <c r="E125" s="32">
        <f t="shared" si="5"/>
        <v>100</v>
      </c>
    </row>
    <row r="126" spans="1:5" x14ac:dyDescent="0.25">
      <c r="A126" s="2" t="s">
        <v>215</v>
      </c>
      <c r="B126" s="2">
        <v>40</v>
      </c>
      <c r="C126" s="2">
        <v>40</v>
      </c>
      <c r="D126">
        <v>20</v>
      </c>
      <c r="E126" s="32">
        <f t="shared" si="5"/>
        <v>100</v>
      </c>
    </row>
    <row r="127" spans="1:5" x14ac:dyDescent="0.25">
      <c r="A127" s="2" t="s">
        <v>215</v>
      </c>
      <c r="B127" s="2">
        <v>40</v>
      </c>
      <c r="C127" s="2">
        <v>60</v>
      </c>
      <c r="D127">
        <v>0</v>
      </c>
      <c r="E127" s="32">
        <f t="shared" si="5"/>
        <v>100</v>
      </c>
    </row>
    <row r="128" spans="1:5" x14ac:dyDescent="0.25">
      <c r="A128" s="2" t="s">
        <v>215</v>
      </c>
      <c r="B128" s="2">
        <v>49</v>
      </c>
      <c r="C128" s="2">
        <v>49</v>
      </c>
      <c r="D128">
        <v>2</v>
      </c>
      <c r="E128" s="32">
        <f t="shared" si="5"/>
        <v>100</v>
      </c>
    </row>
    <row r="129" spans="1:5" x14ac:dyDescent="0.25">
      <c r="A129" s="2" t="s">
        <v>215</v>
      </c>
      <c r="B129" s="2">
        <v>60</v>
      </c>
      <c r="C129" s="2">
        <v>35</v>
      </c>
      <c r="D129">
        <v>5</v>
      </c>
      <c r="E129" s="32">
        <f t="shared" si="5"/>
        <v>100</v>
      </c>
    </row>
    <row r="130" spans="1:5" x14ac:dyDescent="0.25">
      <c r="A130" s="2" t="s">
        <v>215</v>
      </c>
      <c r="B130" s="2">
        <v>60</v>
      </c>
      <c r="C130" s="2">
        <v>20</v>
      </c>
      <c r="D130">
        <v>20</v>
      </c>
      <c r="E130" s="32">
        <f t="shared" si="5"/>
        <v>100</v>
      </c>
    </row>
    <row r="131" spans="1:5" x14ac:dyDescent="0.25">
      <c r="A131" s="2" t="s">
        <v>215</v>
      </c>
      <c r="B131" s="2">
        <v>90</v>
      </c>
      <c r="C131" s="2">
        <v>10</v>
      </c>
      <c r="D131">
        <v>0</v>
      </c>
      <c r="E131" s="32">
        <f t="shared" si="5"/>
        <v>100</v>
      </c>
    </row>
    <row r="133" spans="1:5" x14ac:dyDescent="0.25">
      <c r="B133">
        <f>SUM(B5:B132)</f>
        <v>4515</v>
      </c>
      <c r="C133" s="19">
        <f>SUM(C5:C132)</f>
        <v>5826</v>
      </c>
      <c r="D133" s="19">
        <f>SUM(D5:D132)</f>
        <v>2359</v>
      </c>
    </row>
  </sheetData>
  <sortState ref="A5:E131">
    <sortCondition ref="A5:A131"/>
    <sortCondition ref="B5:B131"/>
  </sortState>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8"/>
  <sheetViews>
    <sheetView workbookViewId="0"/>
  </sheetViews>
  <sheetFormatPr defaultRowHeight="15" x14ac:dyDescent="0.25"/>
  <cols>
    <col min="2" max="2" width="16.5703125" customWidth="1"/>
    <col min="3" max="3" width="15.140625" bestFit="1" customWidth="1"/>
    <col min="5" max="5" width="17.85546875" bestFit="1" customWidth="1"/>
    <col min="6" max="6" width="11.28515625" customWidth="1"/>
    <col min="12" max="12" width="17.7109375" bestFit="1" customWidth="1"/>
    <col min="17" max="17" width="6.28515625" customWidth="1"/>
    <col min="18" max="18" width="7" customWidth="1"/>
    <col min="19" max="19" width="3.5703125" customWidth="1"/>
    <col min="21" max="21" width="7" customWidth="1"/>
    <col min="22" max="22" width="6.5703125" customWidth="1"/>
    <col min="23" max="23" width="3.85546875" customWidth="1"/>
    <col min="25" max="25" width="5.5703125" customWidth="1"/>
    <col min="26" max="26" width="5.7109375" customWidth="1"/>
    <col min="27" max="27" width="3.5703125" customWidth="1"/>
    <col min="29" max="29" width="5.85546875" customWidth="1"/>
    <col min="30" max="30" width="5.5703125" customWidth="1"/>
  </cols>
  <sheetData>
    <row r="1" spans="1:30" x14ac:dyDescent="0.25">
      <c r="A1" s="15" t="s">
        <v>371</v>
      </c>
    </row>
    <row r="2" spans="1:30" x14ac:dyDescent="0.25">
      <c r="A2" s="15" t="s">
        <v>372</v>
      </c>
    </row>
    <row r="4" spans="1:30" s="19" customFormat="1" x14ac:dyDescent="0.25"/>
    <row r="5" spans="1:30" x14ac:dyDescent="0.25">
      <c r="A5" s="19"/>
      <c r="B5" s="19" t="s">
        <v>301</v>
      </c>
      <c r="C5" s="19" t="s">
        <v>302</v>
      </c>
      <c r="E5" s="19" t="s">
        <v>303</v>
      </c>
      <c r="L5" s="20" t="s">
        <v>299</v>
      </c>
      <c r="M5" s="19"/>
      <c r="N5" s="19"/>
      <c r="P5" s="2" t="s">
        <v>236</v>
      </c>
      <c r="Q5" s="2">
        <v>0</v>
      </c>
      <c r="R5" s="2">
        <v>0</v>
      </c>
      <c r="T5" s="2" t="s">
        <v>237</v>
      </c>
      <c r="U5" s="2">
        <v>75</v>
      </c>
      <c r="V5" s="2">
        <v>75</v>
      </c>
      <c r="X5" s="2" t="s">
        <v>238</v>
      </c>
      <c r="Y5" s="2">
        <v>0</v>
      </c>
      <c r="Z5" s="2">
        <v>0</v>
      </c>
      <c r="AB5" s="2" t="s">
        <v>215</v>
      </c>
      <c r="AC5" s="2">
        <v>0</v>
      </c>
      <c r="AD5" s="2">
        <v>0</v>
      </c>
    </row>
    <row r="6" spans="1:30" x14ac:dyDescent="0.25">
      <c r="A6" s="2" t="s">
        <v>236</v>
      </c>
      <c r="B6" s="2">
        <v>0</v>
      </c>
      <c r="C6" s="2">
        <v>0</v>
      </c>
      <c r="E6" s="19" t="s">
        <v>304</v>
      </c>
      <c r="F6" s="25">
        <f>B98/91</f>
        <v>58.18681318681319</v>
      </c>
      <c r="L6" s="19"/>
      <c r="M6" s="19" t="s">
        <v>306</v>
      </c>
      <c r="N6" s="19" t="s">
        <v>307</v>
      </c>
      <c r="P6" s="2" t="s">
        <v>236</v>
      </c>
      <c r="Q6" s="2">
        <v>8</v>
      </c>
      <c r="R6" s="2">
        <v>8</v>
      </c>
      <c r="T6" s="2" t="s">
        <v>237</v>
      </c>
      <c r="U6" s="2">
        <v>90</v>
      </c>
      <c r="V6" s="2">
        <v>60</v>
      </c>
      <c r="X6" s="2" t="s">
        <v>238</v>
      </c>
      <c r="Y6" s="2">
        <v>0</v>
      </c>
      <c r="Z6" s="2">
        <v>0</v>
      </c>
      <c r="AB6" s="2" t="s">
        <v>215</v>
      </c>
      <c r="AC6" s="2">
        <v>5</v>
      </c>
      <c r="AD6" s="2">
        <v>0</v>
      </c>
    </row>
    <row r="7" spans="1:30" x14ac:dyDescent="0.25">
      <c r="A7" s="2" t="s">
        <v>238</v>
      </c>
      <c r="B7" s="2">
        <v>0</v>
      </c>
      <c r="C7" s="2">
        <v>0</v>
      </c>
      <c r="E7" s="19" t="s">
        <v>305</v>
      </c>
      <c r="F7" s="25">
        <f>C98/91</f>
        <v>37.219780219780219</v>
      </c>
      <c r="L7" s="19" t="s">
        <v>308</v>
      </c>
      <c r="M7" s="25">
        <f>Q34/28</f>
        <v>70.607142857142861</v>
      </c>
      <c r="N7" s="25">
        <f>R34/28</f>
        <v>42.714285714285715</v>
      </c>
      <c r="P7" s="2" t="s">
        <v>236</v>
      </c>
      <c r="Q7" s="2">
        <v>10</v>
      </c>
      <c r="R7" s="2">
        <v>5</v>
      </c>
      <c r="T7" s="2" t="s">
        <v>237</v>
      </c>
      <c r="U7" s="2">
        <v>90</v>
      </c>
      <c r="V7" s="2">
        <v>20</v>
      </c>
      <c r="X7" s="2" t="s">
        <v>238</v>
      </c>
      <c r="Y7" s="2">
        <v>0</v>
      </c>
      <c r="Z7" s="2">
        <v>2</v>
      </c>
      <c r="AB7" s="2" t="s">
        <v>215</v>
      </c>
      <c r="AC7" s="2">
        <v>25</v>
      </c>
      <c r="AD7" s="2">
        <v>25</v>
      </c>
    </row>
    <row r="8" spans="1:30" x14ac:dyDescent="0.25">
      <c r="A8" s="2" t="s">
        <v>238</v>
      </c>
      <c r="B8" s="2">
        <v>0</v>
      </c>
      <c r="C8" s="2">
        <v>0</v>
      </c>
      <c r="L8" s="19" t="s">
        <v>274</v>
      </c>
      <c r="M8" s="25">
        <f>U11/5</f>
        <v>90</v>
      </c>
      <c r="N8" s="25">
        <f>V11/5</f>
        <v>57</v>
      </c>
      <c r="P8" s="2" t="s">
        <v>236</v>
      </c>
      <c r="Q8" s="2">
        <v>15</v>
      </c>
      <c r="R8" s="2">
        <v>10</v>
      </c>
      <c r="T8" s="2" t="s">
        <v>237</v>
      </c>
      <c r="U8" s="2">
        <v>95</v>
      </c>
      <c r="V8" s="2">
        <v>80</v>
      </c>
      <c r="X8" s="2" t="s">
        <v>238</v>
      </c>
      <c r="Y8" s="2">
        <v>0</v>
      </c>
      <c r="Z8" s="2">
        <v>1</v>
      </c>
      <c r="AB8" s="2" t="s">
        <v>215</v>
      </c>
      <c r="AC8" s="2">
        <v>60</v>
      </c>
      <c r="AD8" s="2">
        <v>40</v>
      </c>
    </row>
    <row r="9" spans="1:30" x14ac:dyDescent="0.25">
      <c r="A9" s="2" t="s">
        <v>238</v>
      </c>
      <c r="B9" s="2">
        <v>0</v>
      </c>
      <c r="C9" s="2">
        <v>2</v>
      </c>
      <c r="L9" s="19" t="s">
        <v>309</v>
      </c>
      <c r="M9" s="25">
        <f>Y55/49</f>
        <v>47.448979591836732</v>
      </c>
      <c r="N9" s="25">
        <f>Z55/49</f>
        <v>35.510204081632651</v>
      </c>
      <c r="P9" s="2" t="s">
        <v>236</v>
      </c>
      <c r="Q9" s="2">
        <v>20</v>
      </c>
      <c r="R9" s="2">
        <v>20</v>
      </c>
      <c r="T9" s="2" t="s">
        <v>237</v>
      </c>
      <c r="U9" s="2">
        <v>100</v>
      </c>
      <c r="V9" s="2">
        <v>50</v>
      </c>
      <c r="X9" s="2" t="s">
        <v>238</v>
      </c>
      <c r="Y9" s="2">
        <v>0</v>
      </c>
      <c r="Z9" s="2">
        <v>0</v>
      </c>
      <c r="AB9" s="2" t="s">
        <v>215</v>
      </c>
      <c r="AC9" s="2">
        <v>70</v>
      </c>
      <c r="AD9" s="2">
        <v>2</v>
      </c>
    </row>
    <row r="10" spans="1:30" x14ac:dyDescent="0.25">
      <c r="A10" s="2" t="s">
        <v>238</v>
      </c>
      <c r="B10" s="2">
        <v>0</v>
      </c>
      <c r="C10" s="2">
        <v>1</v>
      </c>
      <c r="L10" s="19" t="s">
        <v>310</v>
      </c>
      <c r="M10" s="25">
        <f>AC15/9</f>
        <v>60.333333333333336</v>
      </c>
      <c r="N10" s="25">
        <f>AD15/9</f>
        <v>18.444444444444443</v>
      </c>
      <c r="P10" s="2" t="s">
        <v>236</v>
      </c>
      <c r="Q10" s="2">
        <v>20</v>
      </c>
      <c r="R10" s="2">
        <v>20</v>
      </c>
      <c r="X10" s="2" t="s">
        <v>238</v>
      </c>
      <c r="Y10" s="2">
        <v>1</v>
      </c>
      <c r="Z10" s="2">
        <v>1</v>
      </c>
      <c r="AB10" s="2" t="s">
        <v>215</v>
      </c>
      <c r="AC10" s="2">
        <v>90</v>
      </c>
      <c r="AD10" s="2">
        <v>80</v>
      </c>
    </row>
    <row r="11" spans="1:30" x14ac:dyDescent="0.25">
      <c r="A11" s="2" t="s">
        <v>238</v>
      </c>
      <c r="B11" s="2">
        <v>0</v>
      </c>
      <c r="C11" s="2">
        <v>0</v>
      </c>
      <c r="L11" s="19" t="s">
        <v>311</v>
      </c>
      <c r="M11">
        <v>58.2</v>
      </c>
      <c r="N11">
        <v>37.200000000000003</v>
      </c>
      <c r="P11" s="2" t="s">
        <v>236</v>
      </c>
      <c r="Q11" s="2">
        <v>50</v>
      </c>
      <c r="R11" s="2">
        <v>15</v>
      </c>
      <c r="U11">
        <f>SUM(U5:U10)</f>
        <v>450</v>
      </c>
      <c r="V11" s="19">
        <f>SUM(V5:V10)</f>
        <v>285</v>
      </c>
      <c r="X11" s="2" t="s">
        <v>238</v>
      </c>
      <c r="Y11" s="2">
        <v>2</v>
      </c>
      <c r="Z11" s="2">
        <v>0</v>
      </c>
      <c r="AB11" s="3" t="s">
        <v>215</v>
      </c>
      <c r="AC11" s="3">
        <v>95</v>
      </c>
      <c r="AD11" s="3">
        <v>0</v>
      </c>
    </row>
    <row r="12" spans="1:30" x14ac:dyDescent="0.25">
      <c r="A12" s="2" t="s">
        <v>215</v>
      </c>
      <c r="B12" s="2">
        <v>0</v>
      </c>
      <c r="C12" s="2">
        <v>0</v>
      </c>
      <c r="P12" s="2" t="s">
        <v>236</v>
      </c>
      <c r="Q12" s="2">
        <v>65</v>
      </c>
      <c r="R12" s="2">
        <v>50</v>
      </c>
      <c r="X12" s="2" t="s">
        <v>238</v>
      </c>
      <c r="Y12" s="2">
        <v>3</v>
      </c>
      <c r="Z12" s="2">
        <v>3</v>
      </c>
      <c r="AB12" s="2" t="s">
        <v>215</v>
      </c>
      <c r="AC12" s="2">
        <v>98</v>
      </c>
      <c r="AD12" s="2">
        <v>7</v>
      </c>
    </row>
    <row r="13" spans="1:30" x14ac:dyDescent="0.25">
      <c r="A13" s="2" t="s">
        <v>238</v>
      </c>
      <c r="B13" s="2">
        <v>1</v>
      </c>
      <c r="C13" s="2">
        <v>1</v>
      </c>
      <c r="P13" s="2" t="s">
        <v>236</v>
      </c>
      <c r="Q13" s="2">
        <v>70</v>
      </c>
      <c r="R13" s="2">
        <v>18</v>
      </c>
      <c r="X13" s="2" t="s">
        <v>238</v>
      </c>
      <c r="Y13" s="2">
        <v>4</v>
      </c>
      <c r="Z13" s="2">
        <v>5</v>
      </c>
      <c r="AB13" s="2" t="s">
        <v>215</v>
      </c>
      <c r="AC13" s="2">
        <v>100</v>
      </c>
      <c r="AD13" s="2">
        <v>12</v>
      </c>
    </row>
    <row r="14" spans="1:30" x14ac:dyDescent="0.25">
      <c r="A14" s="2" t="s">
        <v>238</v>
      </c>
      <c r="B14" s="2">
        <v>2</v>
      </c>
      <c r="C14" s="2">
        <v>0</v>
      </c>
      <c r="P14" s="2" t="s">
        <v>236</v>
      </c>
      <c r="Q14" s="2">
        <v>80</v>
      </c>
      <c r="R14" s="2">
        <v>15</v>
      </c>
      <c r="X14" s="2" t="s">
        <v>238</v>
      </c>
      <c r="Y14" s="2">
        <v>5</v>
      </c>
      <c r="Z14" s="2">
        <v>5</v>
      </c>
    </row>
    <row r="15" spans="1:30" x14ac:dyDescent="0.25">
      <c r="A15" s="2" t="s">
        <v>238</v>
      </c>
      <c r="B15" s="2">
        <v>3</v>
      </c>
      <c r="C15" s="2">
        <v>3</v>
      </c>
      <c r="P15" s="2" t="s">
        <v>236</v>
      </c>
      <c r="Q15" s="2">
        <v>80</v>
      </c>
      <c r="R15" s="2">
        <v>80</v>
      </c>
      <c r="X15" s="3" t="s">
        <v>238</v>
      </c>
      <c r="Y15" s="3">
        <v>8</v>
      </c>
      <c r="Z15" s="3">
        <v>8</v>
      </c>
      <c r="AC15">
        <f>SUM(AC5:AC14)</f>
        <v>543</v>
      </c>
      <c r="AD15" s="19">
        <f>SUM(AD5:AD14)</f>
        <v>166</v>
      </c>
    </row>
    <row r="16" spans="1:30" x14ac:dyDescent="0.25">
      <c r="A16" s="2" t="s">
        <v>238</v>
      </c>
      <c r="B16" s="2">
        <v>4</v>
      </c>
      <c r="C16" s="2">
        <v>5</v>
      </c>
      <c r="P16" s="2" t="s">
        <v>236</v>
      </c>
      <c r="Q16" s="2">
        <v>80</v>
      </c>
      <c r="R16" s="2">
        <v>98</v>
      </c>
      <c r="X16" s="2" t="s">
        <v>238</v>
      </c>
      <c r="Y16" s="2">
        <v>9</v>
      </c>
      <c r="Z16" s="2">
        <v>10</v>
      </c>
    </row>
    <row r="17" spans="1:26" x14ac:dyDescent="0.25">
      <c r="A17" s="2" t="s">
        <v>238</v>
      </c>
      <c r="B17" s="2">
        <v>5</v>
      </c>
      <c r="C17" s="2">
        <v>5</v>
      </c>
      <c r="P17" s="2" t="s">
        <v>236</v>
      </c>
      <c r="Q17" s="2">
        <v>80</v>
      </c>
      <c r="R17" s="2">
        <v>50</v>
      </c>
      <c r="X17" s="2" t="s">
        <v>238</v>
      </c>
      <c r="Y17" s="2">
        <v>10</v>
      </c>
      <c r="Z17" s="2">
        <v>95</v>
      </c>
    </row>
    <row r="18" spans="1:26" x14ac:dyDescent="0.25">
      <c r="A18" s="2" t="s">
        <v>215</v>
      </c>
      <c r="B18" s="2">
        <v>5</v>
      </c>
      <c r="C18" s="2">
        <v>0</v>
      </c>
      <c r="P18" s="2" t="s">
        <v>236</v>
      </c>
      <c r="Q18" s="2">
        <v>80</v>
      </c>
      <c r="R18" s="2">
        <v>20</v>
      </c>
      <c r="X18" s="2" t="s">
        <v>238</v>
      </c>
      <c r="Y18" s="2">
        <v>10</v>
      </c>
      <c r="Z18" s="2">
        <v>5</v>
      </c>
    </row>
    <row r="19" spans="1:26" x14ac:dyDescent="0.25">
      <c r="A19" s="2" t="s">
        <v>236</v>
      </c>
      <c r="B19" s="2">
        <v>8</v>
      </c>
      <c r="C19" s="2">
        <v>8</v>
      </c>
      <c r="P19" s="2" t="s">
        <v>236</v>
      </c>
      <c r="Q19" s="3">
        <v>87</v>
      </c>
      <c r="R19" s="3">
        <v>80</v>
      </c>
      <c r="X19" s="2" t="s">
        <v>238</v>
      </c>
      <c r="Y19" s="2">
        <v>10</v>
      </c>
      <c r="Z19" s="2">
        <v>80</v>
      </c>
    </row>
    <row r="20" spans="1:26" x14ac:dyDescent="0.25">
      <c r="A20" s="3" t="s">
        <v>238</v>
      </c>
      <c r="B20" s="3">
        <v>8</v>
      </c>
      <c r="C20" s="3">
        <v>8</v>
      </c>
      <c r="P20" s="2" t="s">
        <v>236</v>
      </c>
      <c r="Q20" s="2">
        <v>90</v>
      </c>
      <c r="R20" s="2">
        <v>20</v>
      </c>
      <c r="X20" s="2" t="s">
        <v>238</v>
      </c>
      <c r="Y20" s="2">
        <v>10</v>
      </c>
      <c r="Z20" s="2">
        <v>10</v>
      </c>
    </row>
    <row r="21" spans="1:26" x14ac:dyDescent="0.25">
      <c r="A21" s="2" t="s">
        <v>238</v>
      </c>
      <c r="B21" s="2">
        <v>9</v>
      </c>
      <c r="C21" s="2">
        <v>10</v>
      </c>
      <c r="P21" s="2" t="s">
        <v>236</v>
      </c>
      <c r="Q21" s="2">
        <v>90</v>
      </c>
      <c r="R21" s="2">
        <v>50</v>
      </c>
      <c r="X21" s="2" t="s">
        <v>238</v>
      </c>
      <c r="Y21" s="2">
        <v>10</v>
      </c>
      <c r="Z21" s="2">
        <v>8</v>
      </c>
    </row>
    <row r="22" spans="1:26" x14ac:dyDescent="0.25">
      <c r="A22" s="2" t="s">
        <v>236</v>
      </c>
      <c r="B22" s="2">
        <v>10</v>
      </c>
      <c r="C22" s="2">
        <v>5</v>
      </c>
      <c r="P22" s="2" t="s">
        <v>236</v>
      </c>
      <c r="Q22" s="2">
        <v>90</v>
      </c>
      <c r="R22" s="2">
        <v>5</v>
      </c>
      <c r="X22" s="2" t="s">
        <v>238</v>
      </c>
      <c r="Y22" s="2">
        <v>10</v>
      </c>
      <c r="Z22" s="2">
        <v>1</v>
      </c>
    </row>
    <row r="23" spans="1:26" x14ac:dyDescent="0.25">
      <c r="A23" s="2" t="s">
        <v>238</v>
      </c>
      <c r="B23" s="2">
        <v>10</v>
      </c>
      <c r="C23" s="2">
        <v>95</v>
      </c>
      <c r="P23" s="2" t="s">
        <v>236</v>
      </c>
      <c r="Q23" s="2">
        <v>90</v>
      </c>
      <c r="R23" s="2">
        <v>75</v>
      </c>
      <c r="X23" s="2" t="s">
        <v>238</v>
      </c>
      <c r="Y23" s="2">
        <v>15</v>
      </c>
      <c r="Z23" s="2">
        <v>14</v>
      </c>
    </row>
    <row r="24" spans="1:26" x14ac:dyDescent="0.25">
      <c r="A24" s="2" t="s">
        <v>238</v>
      </c>
      <c r="B24" s="2">
        <v>10</v>
      </c>
      <c r="C24" s="2">
        <v>5</v>
      </c>
      <c r="P24" s="2" t="s">
        <v>236</v>
      </c>
      <c r="Q24" s="2">
        <v>90</v>
      </c>
      <c r="R24" s="2">
        <v>90</v>
      </c>
      <c r="X24" s="2" t="s">
        <v>238</v>
      </c>
      <c r="Y24" s="2">
        <v>15</v>
      </c>
      <c r="Z24" s="2">
        <v>1</v>
      </c>
    </row>
    <row r="25" spans="1:26" x14ac:dyDescent="0.25">
      <c r="A25" s="2" t="s">
        <v>238</v>
      </c>
      <c r="B25" s="2">
        <v>10</v>
      </c>
      <c r="C25" s="2">
        <v>80</v>
      </c>
      <c r="P25" s="2" t="s">
        <v>236</v>
      </c>
      <c r="Q25" s="3">
        <v>95</v>
      </c>
      <c r="R25" s="3">
        <v>5</v>
      </c>
      <c r="X25" s="2" t="s">
        <v>238</v>
      </c>
      <c r="Y25" s="2">
        <v>20</v>
      </c>
      <c r="Z25" s="2">
        <v>20</v>
      </c>
    </row>
    <row r="26" spans="1:26" x14ac:dyDescent="0.25">
      <c r="A26" s="2" t="s">
        <v>238</v>
      </c>
      <c r="B26" s="2">
        <v>10</v>
      </c>
      <c r="C26" s="2">
        <v>10</v>
      </c>
      <c r="P26" s="2" t="s">
        <v>236</v>
      </c>
      <c r="Q26" s="2">
        <v>95</v>
      </c>
      <c r="R26" s="2">
        <v>100</v>
      </c>
      <c r="X26" s="2" t="s">
        <v>238</v>
      </c>
      <c r="Y26" s="2">
        <v>30</v>
      </c>
      <c r="Z26" s="2">
        <v>25</v>
      </c>
    </row>
    <row r="27" spans="1:26" x14ac:dyDescent="0.25">
      <c r="A27" s="2" t="s">
        <v>238</v>
      </c>
      <c r="B27" s="2">
        <v>10</v>
      </c>
      <c r="C27" s="2">
        <v>8</v>
      </c>
      <c r="P27" s="2" t="s">
        <v>236</v>
      </c>
      <c r="Q27" s="2">
        <v>95</v>
      </c>
      <c r="R27" s="2">
        <v>100</v>
      </c>
      <c r="X27" s="2" t="s">
        <v>238</v>
      </c>
      <c r="Y27" s="2">
        <v>40</v>
      </c>
      <c r="Z27" s="2">
        <v>2</v>
      </c>
    </row>
    <row r="28" spans="1:26" x14ac:dyDescent="0.25">
      <c r="A28" s="2" t="s">
        <v>238</v>
      </c>
      <c r="B28" s="2">
        <v>10</v>
      </c>
      <c r="C28" s="2">
        <v>1</v>
      </c>
      <c r="P28" s="2" t="s">
        <v>236</v>
      </c>
      <c r="Q28" s="2">
        <v>98</v>
      </c>
      <c r="R28" s="2">
        <v>1</v>
      </c>
      <c r="X28" s="2" t="s">
        <v>238</v>
      </c>
      <c r="Y28" s="2">
        <v>40</v>
      </c>
      <c r="Z28" s="2">
        <v>40</v>
      </c>
    </row>
    <row r="29" spans="1:26" x14ac:dyDescent="0.25">
      <c r="A29" s="2" t="s">
        <v>236</v>
      </c>
      <c r="B29" s="2">
        <v>15</v>
      </c>
      <c r="C29" s="2">
        <v>10</v>
      </c>
      <c r="P29" s="2" t="s">
        <v>236</v>
      </c>
      <c r="Q29" s="2">
        <v>99</v>
      </c>
      <c r="R29" s="2">
        <v>80</v>
      </c>
      <c r="X29" s="2" t="s">
        <v>238</v>
      </c>
      <c r="Y29" s="2">
        <v>50</v>
      </c>
      <c r="Z29" s="2">
        <v>90</v>
      </c>
    </row>
    <row r="30" spans="1:26" x14ac:dyDescent="0.25">
      <c r="A30" s="2" t="s">
        <v>238</v>
      </c>
      <c r="B30" s="2">
        <v>15</v>
      </c>
      <c r="C30" s="2">
        <v>14</v>
      </c>
      <c r="P30" s="2" t="s">
        <v>236</v>
      </c>
      <c r="Q30" s="2">
        <v>100</v>
      </c>
      <c r="R30" s="2">
        <v>80</v>
      </c>
      <c r="X30" s="2" t="s">
        <v>238</v>
      </c>
      <c r="Y30" s="2">
        <v>50</v>
      </c>
      <c r="Z30" s="2">
        <v>50</v>
      </c>
    </row>
    <row r="31" spans="1:26" x14ac:dyDescent="0.25">
      <c r="A31" s="2" t="s">
        <v>238</v>
      </c>
      <c r="B31" s="2">
        <v>15</v>
      </c>
      <c r="C31" s="2">
        <v>1</v>
      </c>
      <c r="P31" s="2" t="s">
        <v>236</v>
      </c>
      <c r="Q31" s="2">
        <v>100</v>
      </c>
      <c r="R31" s="2">
        <v>1</v>
      </c>
      <c r="X31" s="2" t="s">
        <v>238</v>
      </c>
      <c r="Y31" s="2">
        <v>50</v>
      </c>
      <c r="Z31" s="2">
        <v>50</v>
      </c>
    </row>
    <row r="32" spans="1:26" x14ac:dyDescent="0.25">
      <c r="A32" s="2" t="s">
        <v>236</v>
      </c>
      <c r="B32" s="2">
        <v>20</v>
      </c>
      <c r="C32" s="2">
        <v>20</v>
      </c>
      <c r="P32" s="2" t="s">
        <v>236</v>
      </c>
      <c r="Q32" s="3">
        <v>100</v>
      </c>
      <c r="R32" s="3">
        <v>100</v>
      </c>
      <c r="X32" s="2" t="s">
        <v>238</v>
      </c>
      <c r="Y32" s="2">
        <v>50</v>
      </c>
      <c r="Z32" s="2">
        <v>10</v>
      </c>
    </row>
    <row r="33" spans="1:26" x14ac:dyDescent="0.25">
      <c r="A33" s="2" t="s">
        <v>236</v>
      </c>
      <c r="B33" s="2">
        <v>20</v>
      </c>
      <c r="C33" s="2">
        <v>20</v>
      </c>
      <c r="X33" s="2" t="s">
        <v>238</v>
      </c>
      <c r="Y33" s="2">
        <v>60</v>
      </c>
      <c r="Z33" s="2">
        <v>80</v>
      </c>
    </row>
    <row r="34" spans="1:26" x14ac:dyDescent="0.25">
      <c r="A34" s="2" t="s">
        <v>238</v>
      </c>
      <c r="B34" s="2">
        <v>20</v>
      </c>
      <c r="C34" s="2">
        <v>20</v>
      </c>
      <c r="Q34" s="1">
        <f>SUM(Q5:Q33)</f>
        <v>1977</v>
      </c>
      <c r="R34" s="1">
        <f>SUM(R5:R33)</f>
        <v>1196</v>
      </c>
      <c r="X34" s="2" t="s">
        <v>238</v>
      </c>
      <c r="Y34" s="2">
        <v>68</v>
      </c>
      <c r="Z34" s="2">
        <v>49</v>
      </c>
    </row>
    <row r="35" spans="1:26" x14ac:dyDescent="0.25">
      <c r="A35" s="2" t="s">
        <v>215</v>
      </c>
      <c r="B35" s="2">
        <v>25</v>
      </c>
      <c r="C35" s="2">
        <v>25</v>
      </c>
      <c r="X35" s="2" t="s">
        <v>238</v>
      </c>
      <c r="Y35" s="2">
        <v>76</v>
      </c>
      <c r="Z35" s="2">
        <v>30</v>
      </c>
    </row>
    <row r="36" spans="1:26" x14ac:dyDescent="0.25">
      <c r="A36" s="2" t="s">
        <v>238</v>
      </c>
      <c r="B36" s="2">
        <v>30</v>
      </c>
      <c r="C36" s="2">
        <v>25</v>
      </c>
      <c r="X36" s="2" t="s">
        <v>238</v>
      </c>
      <c r="Y36" s="2">
        <v>80</v>
      </c>
      <c r="Z36" s="2">
        <v>40</v>
      </c>
    </row>
    <row r="37" spans="1:26" x14ac:dyDescent="0.25">
      <c r="A37" s="2" t="s">
        <v>238</v>
      </c>
      <c r="B37" s="2">
        <v>40</v>
      </c>
      <c r="C37" s="2">
        <v>2</v>
      </c>
      <c r="X37" s="2" t="s">
        <v>238</v>
      </c>
      <c r="Y37" s="2">
        <v>80</v>
      </c>
      <c r="Z37" s="2">
        <v>80</v>
      </c>
    </row>
    <row r="38" spans="1:26" x14ac:dyDescent="0.25">
      <c r="A38" s="2" t="s">
        <v>238</v>
      </c>
      <c r="B38" s="2">
        <v>40</v>
      </c>
      <c r="C38" s="2">
        <v>40</v>
      </c>
      <c r="X38" s="2" t="s">
        <v>238</v>
      </c>
      <c r="Y38" s="2">
        <v>80</v>
      </c>
      <c r="Z38" s="2"/>
    </row>
    <row r="39" spans="1:26" x14ac:dyDescent="0.25">
      <c r="A39" s="2" t="s">
        <v>236</v>
      </c>
      <c r="B39" s="2">
        <v>50</v>
      </c>
      <c r="C39" s="2">
        <v>15</v>
      </c>
      <c r="X39" s="2" t="s">
        <v>238</v>
      </c>
      <c r="Y39" s="2">
        <v>85</v>
      </c>
      <c r="Z39" s="2">
        <v>85</v>
      </c>
    </row>
    <row r="40" spans="1:26" x14ac:dyDescent="0.25">
      <c r="A40" s="2" t="s">
        <v>238</v>
      </c>
      <c r="B40" s="2">
        <v>50</v>
      </c>
      <c r="C40" s="2">
        <v>90</v>
      </c>
      <c r="X40" s="2" t="s">
        <v>238</v>
      </c>
      <c r="Y40" s="2">
        <v>88</v>
      </c>
      <c r="Z40" s="2">
        <v>43</v>
      </c>
    </row>
    <row r="41" spans="1:26" x14ac:dyDescent="0.25">
      <c r="A41" s="2" t="s">
        <v>238</v>
      </c>
      <c r="B41" s="2">
        <v>50</v>
      </c>
      <c r="C41" s="2">
        <v>50</v>
      </c>
      <c r="X41" s="2" t="s">
        <v>238</v>
      </c>
      <c r="Y41" s="2">
        <v>90</v>
      </c>
      <c r="Z41" s="2">
        <v>95</v>
      </c>
    </row>
    <row r="42" spans="1:26" x14ac:dyDescent="0.25">
      <c r="A42" s="2" t="s">
        <v>238</v>
      </c>
      <c r="B42" s="2">
        <v>50</v>
      </c>
      <c r="C42" s="2">
        <v>50</v>
      </c>
      <c r="X42" s="2" t="s">
        <v>238</v>
      </c>
      <c r="Y42" s="2">
        <v>92</v>
      </c>
      <c r="Z42" s="2">
        <v>65</v>
      </c>
    </row>
    <row r="43" spans="1:26" x14ac:dyDescent="0.25">
      <c r="A43" s="2" t="s">
        <v>238</v>
      </c>
      <c r="B43" s="2">
        <v>50</v>
      </c>
      <c r="C43" s="2">
        <v>10</v>
      </c>
      <c r="X43" s="2" t="s">
        <v>238</v>
      </c>
      <c r="Y43" s="2">
        <v>95</v>
      </c>
      <c r="Z43" s="2">
        <v>40</v>
      </c>
    </row>
    <row r="44" spans="1:26" x14ac:dyDescent="0.25">
      <c r="A44" s="2" t="s">
        <v>238</v>
      </c>
      <c r="B44" s="2">
        <v>60</v>
      </c>
      <c r="C44" s="2">
        <v>80</v>
      </c>
      <c r="X44" s="2" t="s">
        <v>238</v>
      </c>
      <c r="Y44" s="2">
        <v>95</v>
      </c>
      <c r="Z44" s="2">
        <v>40</v>
      </c>
    </row>
    <row r="45" spans="1:26" x14ac:dyDescent="0.25">
      <c r="A45" s="2" t="s">
        <v>215</v>
      </c>
      <c r="B45" s="2">
        <v>60</v>
      </c>
      <c r="C45" s="2">
        <v>40</v>
      </c>
      <c r="X45" s="2" t="s">
        <v>238</v>
      </c>
      <c r="Y45" s="2">
        <v>95</v>
      </c>
      <c r="Z45" s="2">
        <v>45</v>
      </c>
    </row>
    <row r="46" spans="1:26" x14ac:dyDescent="0.25">
      <c r="A46" s="2" t="s">
        <v>236</v>
      </c>
      <c r="B46" s="2">
        <v>65</v>
      </c>
      <c r="C46" s="2">
        <v>50</v>
      </c>
      <c r="X46" s="2" t="s">
        <v>238</v>
      </c>
      <c r="Y46" s="2">
        <v>95</v>
      </c>
      <c r="Z46" s="2">
        <v>19</v>
      </c>
    </row>
    <row r="47" spans="1:26" x14ac:dyDescent="0.25">
      <c r="A47" s="2" t="s">
        <v>238</v>
      </c>
      <c r="B47" s="2">
        <v>68</v>
      </c>
      <c r="C47" s="2">
        <v>49</v>
      </c>
      <c r="X47" s="2" t="s">
        <v>238</v>
      </c>
      <c r="Y47" s="2">
        <v>95</v>
      </c>
      <c r="Z47" s="2">
        <v>30</v>
      </c>
    </row>
    <row r="48" spans="1:26" x14ac:dyDescent="0.25">
      <c r="A48" s="2" t="s">
        <v>236</v>
      </c>
      <c r="B48" s="2">
        <v>70</v>
      </c>
      <c r="C48" s="2">
        <v>18</v>
      </c>
      <c r="X48" s="2" t="s">
        <v>238</v>
      </c>
      <c r="Y48" s="2">
        <v>99</v>
      </c>
      <c r="Z48" s="2">
        <v>68</v>
      </c>
    </row>
    <row r="49" spans="1:26" x14ac:dyDescent="0.25">
      <c r="A49" s="2" t="s">
        <v>215</v>
      </c>
      <c r="B49" s="2">
        <v>70</v>
      </c>
      <c r="C49" s="2">
        <v>2</v>
      </c>
      <c r="X49" s="2" t="s">
        <v>238</v>
      </c>
      <c r="Y49" s="2">
        <v>100</v>
      </c>
      <c r="Z49" s="2">
        <v>100</v>
      </c>
    </row>
    <row r="50" spans="1:26" x14ac:dyDescent="0.25">
      <c r="A50" s="2" t="s">
        <v>237</v>
      </c>
      <c r="B50" s="2">
        <v>75</v>
      </c>
      <c r="C50" s="2">
        <v>75</v>
      </c>
      <c r="X50" s="2" t="s">
        <v>238</v>
      </c>
      <c r="Y50" s="2">
        <v>100</v>
      </c>
      <c r="Z50" s="2">
        <v>50</v>
      </c>
    </row>
    <row r="51" spans="1:26" x14ac:dyDescent="0.25">
      <c r="A51" s="2" t="s">
        <v>238</v>
      </c>
      <c r="B51" s="2">
        <v>76</v>
      </c>
      <c r="C51" s="2">
        <v>30</v>
      </c>
      <c r="X51" s="2" t="s">
        <v>238</v>
      </c>
      <c r="Y51" s="2">
        <v>100</v>
      </c>
      <c r="Z51" s="2">
        <v>100</v>
      </c>
    </row>
    <row r="52" spans="1:26" x14ac:dyDescent="0.25">
      <c r="A52" s="2" t="s">
        <v>236</v>
      </c>
      <c r="B52" s="2">
        <v>80</v>
      </c>
      <c r="C52" s="2">
        <v>15</v>
      </c>
      <c r="X52" s="2" t="s">
        <v>238</v>
      </c>
      <c r="Y52" s="2">
        <v>100</v>
      </c>
      <c r="Z52" s="2">
        <v>75</v>
      </c>
    </row>
    <row r="53" spans="1:26" x14ac:dyDescent="0.25">
      <c r="A53" s="2" t="s">
        <v>236</v>
      </c>
      <c r="B53" s="2">
        <v>80</v>
      </c>
      <c r="C53" s="2">
        <v>80</v>
      </c>
      <c r="X53" s="2" t="s">
        <v>238</v>
      </c>
      <c r="Y53" s="2">
        <v>100</v>
      </c>
      <c r="Z53" s="2">
        <v>70</v>
      </c>
    </row>
    <row r="54" spans="1:26" x14ac:dyDescent="0.25">
      <c r="A54" s="2" t="s">
        <v>236</v>
      </c>
      <c r="B54" s="2">
        <v>80</v>
      </c>
      <c r="C54" s="2">
        <v>98</v>
      </c>
    </row>
    <row r="55" spans="1:26" x14ac:dyDescent="0.25">
      <c r="A55" s="2" t="s">
        <v>236</v>
      </c>
      <c r="B55" s="2">
        <v>80</v>
      </c>
      <c r="C55" s="2">
        <v>50</v>
      </c>
      <c r="Y55">
        <f>SUM(Y5:Y54)</f>
        <v>2325</v>
      </c>
      <c r="Z55" s="19">
        <f>SUM(Z5:Z54)</f>
        <v>1740</v>
      </c>
    </row>
    <row r="56" spans="1:26" x14ac:dyDescent="0.25">
      <c r="A56" s="2" t="s">
        <v>236</v>
      </c>
      <c r="B56" s="2">
        <v>80</v>
      </c>
      <c r="C56" s="2">
        <v>20</v>
      </c>
    </row>
    <row r="57" spans="1:26" x14ac:dyDescent="0.25">
      <c r="A57" s="2" t="s">
        <v>238</v>
      </c>
      <c r="B57" s="2">
        <v>80</v>
      </c>
      <c r="C57" s="2">
        <v>40</v>
      </c>
    </row>
    <row r="58" spans="1:26" x14ac:dyDescent="0.25">
      <c r="A58" s="2" t="s">
        <v>238</v>
      </c>
      <c r="B58" s="2">
        <v>80</v>
      </c>
      <c r="C58" s="2">
        <v>80</v>
      </c>
    </row>
    <row r="59" spans="1:26" x14ac:dyDescent="0.25">
      <c r="A59" s="2" t="s">
        <v>238</v>
      </c>
      <c r="B59" s="2">
        <v>80</v>
      </c>
      <c r="C59" s="2"/>
    </row>
    <row r="60" spans="1:26" x14ac:dyDescent="0.25">
      <c r="A60" s="2" t="s">
        <v>238</v>
      </c>
      <c r="B60" s="2">
        <v>85</v>
      </c>
      <c r="C60" s="2">
        <v>85</v>
      </c>
    </row>
    <row r="61" spans="1:26" x14ac:dyDescent="0.25">
      <c r="A61" s="2" t="s">
        <v>236</v>
      </c>
      <c r="B61" s="3">
        <v>87</v>
      </c>
      <c r="C61" s="3">
        <v>80</v>
      </c>
    </row>
    <row r="62" spans="1:26" x14ac:dyDescent="0.25">
      <c r="A62" s="2" t="s">
        <v>238</v>
      </c>
      <c r="B62" s="2">
        <v>88</v>
      </c>
      <c r="C62" s="2">
        <v>43</v>
      </c>
    </row>
    <row r="63" spans="1:26" x14ac:dyDescent="0.25">
      <c r="A63" s="2" t="s">
        <v>236</v>
      </c>
      <c r="B63" s="2">
        <v>90</v>
      </c>
      <c r="C63" s="2">
        <v>20</v>
      </c>
    </row>
    <row r="64" spans="1:26" x14ac:dyDescent="0.25">
      <c r="A64" s="2" t="s">
        <v>236</v>
      </c>
      <c r="B64" s="2">
        <v>90</v>
      </c>
      <c r="C64" s="2">
        <v>50</v>
      </c>
    </row>
    <row r="65" spans="1:3" x14ac:dyDescent="0.25">
      <c r="A65" s="2" t="s">
        <v>236</v>
      </c>
      <c r="B65" s="2">
        <v>90</v>
      </c>
      <c r="C65" s="2">
        <v>5</v>
      </c>
    </row>
    <row r="66" spans="1:3" x14ac:dyDescent="0.25">
      <c r="A66" s="2" t="s">
        <v>236</v>
      </c>
      <c r="B66" s="2">
        <v>90</v>
      </c>
      <c r="C66" s="2">
        <v>75</v>
      </c>
    </row>
    <row r="67" spans="1:3" x14ac:dyDescent="0.25">
      <c r="A67" s="2" t="s">
        <v>236</v>
      </c>
      <c r="B67" s="2">
        <v>90</v>
      </c>
      <c r="C67" s="2">
        <v>90</v>
      </c>
    </row>
    <row r="68" spans="1:3" x14ac:dyDescent="0.25">
      <c r="A68" s="2" t="s">
        <v>237</v>
      </c>
      <c r="B68" s="2">
        <v>90</v>
      </c>
      <c r="C68" s="2">
        <v>60</v>
      </c>
    </row>
    <row r="69" spans="1:3" x14ac:dyDescent="0.25">
      <c r="A69" s="2" t="s">
        <v>237</v>
      </c>
      <c r="B69" s="2">
        <v>90</v>
      </c>
      <c r="C69" s="2">
        <v>20</v>
      </c>
    </row>
    <row r="70" spans="1:3" x14ac:dyDescent="0.25">
      <c r="A70" s="2" t="s">
        <v>238</v>
      </c>
      <c r="B70" s="2">
        <v>90</v>
      </c>
      <c r="C70" s="2">
        <v>95</v>
      </c>
    </row>
    <row r="71" spans="1:3" x14ac:dyDescent="0.25">
      <c r="A71" s="2" t="s">
        <v>215</v>
      </c>
      <c r="B71" s="2">
        <v>90</v>
      </c>
      <c r="C71" s="2">
        <v>80</v>
      </c>
    </row>
    <row r="72" spans="1:3" x14ac:dyDescent="0.25">
      <c r="A72" s="2" t="s">
        <v>238</v>
      </c>
      <c r="B72" s="2">
        <v>92</v>
      </c>
      <c r="C72" s="2">
        <v>65</v>
      </c>
    </row>
    <row r="73" spans="1:3" x14ac:dyDescent="0.25">
      <c r="A73" s="2" t="s">
        <v>236</v>
      </c>
      <c r="B73" s="3">
        <v>95</v>
      </c>
      <c r="C73" s="3">
        <v>5</v>
      </c>
    </row>
    <row r="74" spans="1:3" x14ac:dyDescent="0.25">
      <c r="A74" s="2" t="s">
        <v>236</v>
      </c>
      <c r="B74" s="2">
        <v>95</v>
      </c>
      <c r="C74" s="2">
        <v>100</v>
      </c>
    </row>
    <row r="75" spans="1:3" x14ac:dyDescent="0.25">
      <c r="A75" s="2" t="s">
        <v>236</v>
      </c>
      <c r="B75" s="2">
        <v>95</v>
      </c>
      <c r="C75" s="2">
        <v>100</v>
      </c>
    </row>
    <row r="76" spans="1:3" x14ac:dyDescent="0.25">
      <c r="A76" s="2" t="s">
        <v>237</v>
      </c>
      <c r="B76" s="2">
        <v>95</v>
      </c>
      <c r="C76" s="2">
        <v>80</v>
      </c>
    </row>
    <row r="77" spans="1:3" x14ac:dyDescent="0.25">
      <c r="A77" s="2" t="s">
        <v>238</v>
      </c>
      <c r="B77" s="2">
        <v>95</v>
      </c>
      <c r="C77" s="2">
        <v>40</v>
      </c>
    </row>
    <row r="78" spans="1:3" x14ac:dyDescent="0.25">
      <c r="A78" s="2" t="s">
        <v>238</v>
      </c>
      <c r="B78" s="2">
        <v>95</v>
      </c>
      <c r="C78" s="2">
        <v>40</v>
      </c>
    </row>
    <row r="79" spans="1:3" x14ac:dyDescent="0.25">
      <c r="A79" s="2" t="s">
        <v>238</v>
      </c>
      <c r="B79" s="2">
        <v>95</v>
      </c>
      <c r="C79" s="2">
        <v>45</v>
      </c>
    </row>
    <row r="80" spans="1:3" x14ac:dyDescent="0.25">
      <c r="A80" s="2" t="s">
        <v>238</v>
      </c>
      <c r="B80" s="2">
        <v>95</v>
      </c>
      <c r="C80" s="2">
        <v>19</v>
      </c>
    </row>
    <row r="81" spans="1:3" x14ac:dyDescent="0.25">
      <c r="A81" s="2" t="s">
        <v>238</v>
      </c>
      <c r="B81" s="2">
        <v>95</v>
      </c>
      <c r="C81" s="2">
        <v>30</v>
      </c>
    </row>
    <row r="82" spans="1:3" x14ac:dyDescent="0.25">
      <c r="A82" s="3" t="s">
        <v>215</v>
      </c>
      <c r="B82" s="3">
        <v>95</v>
      </c>
      <c r="C82" s="3">
        <v>0</v>
      </c>
    </row>
    <row r="83" spans="1:3" x14ac:dyDescent="0.25">
      <c r="A83" s="2" t="s">
        <v>236</v>
      </c>
      <c r="B83" s="2">
        <v>98</v>
      </c>
      <c r="C83" s="2">
        <v>1</v>
      </c>
    </row>
    <row r="84" spans="1:3" x14ac:dyDescent="0.25">
      <c r="A84" s="2" t="s">
        <v>215</v>
      </c>
      <c r="B84" s="2">
        <v>98</v>
      </c>
      <c r="C84" s="2">
        <v>7</v>
      </c>
    </row>
    <row r="85" spans="1:3" x14ac:dyDescent="0.25">
      <c r="A85" s="2" t="s">
        <v>236</v>
      </c>
      <c r="B85" s="2">
        <v>99</v>
      </c>
      <c r="C85" s="2">
        <v>80</v>
      </c>
    </row>
    <row r="86" spans="1:3" x14ac:dyDescent="0.25">
      <c r="A86" s="2" t="s">
        <v>238</v>
      </c>
      <c r="B86" s="2">
        <v>99</v>
      </c>
      <c r="C86" s="2">
        <v>68</v>
      </c>
    </row>
    <row r="87" spans="1:3" x14ac:dyDescent="0.25">
      <c r="A87" s="2" t="s">
        <v>236</v>
      </c>
      <c r="B87" s="2">
        <v>100</v>
      </c>
      <c r="C87" s="2">
        <v>80</v>
      </c>
    </row>
    <row r="88" spans="1:3" x14ac:dyDescent="0.25">
      <c r="A88" s="2" t="s">
        <v>236</v>
      </c>
      <c r="B88" s="2">
        <v>100</v>
      </c>
      <c r="C88" s="2">
        <v>1</v>
      </c>
    </row>
    <row r="89" spans="1:3" x14ac:dyDescent="0.25">
      <c r="A89" s="2" t="s">
        <v>236</v>
      </c>
      <c r="B89" s="3">
        <v>100</v>
      </c>
      <c r="C89" s="3">
        <v>100</v>
      </c>
    </row>
    <row r="90" spans="1:3" x14ac:dyDescent="0.25">
      <c r="A90" s="2" t="s">
        <v>237</v>
      </c>
      <c r="B90" s="2">
        <v>100</v>
      </c>
      <c r="C90" s="2">
        <v>50</v>
      </c>
    </row>
    <row r="91" spans="1:3" x14ac:dyDescent="0.25">
      <c r="A91" s="2" t="s">
        <v>238</v>
      </c>
      <c r="B91" s="2">
        <v>100</v>
      </c>
      <c r="C91" s="2">
        <v>100</v>
      </c>
    </row>
    <row r="92" spans="1:3" x14ac:dyDescent="0.25">
      <c r="A92" s="2" t="s">
        <v>238</v>
      </c>
      <c r="B92" s="2">
        <v>100</v>
      </c>
      <c r="C92" s="2">
        <v>50</v>
      </c>
    </row>
    <row r="93" spans="1:3" x14ac:dyDescent="0.25">
      <c r="A93" s="2" t="s">
        <v>238</v>
      </c>
      <c r="B93" s="2">
        <v>100</v>
      </c>
      <c r="C93" s="2">
        <v>100</v>
      </c>
    </row>
    <row r="94" spans="1:3" x14ac:dyDescent="0.25">
      <c r="A94" s="2" t="s">
        <v>238</v>
      </c>
      <c r="B94" s="2">
        <v>100</v>
      </c>
      <c r="C94" s="2">
        <v>75</v>
      </c>
    </row>
    <row r="95" spans="1:3" x14ac:dyDescent="0.25">
      <c r="A95" s="2" t="s">
        <v>238</v>
      </c>
      <c r="B95" s="2">
        <v>100</v>
      </c>
      <c r="C95" s="2">
        <v>70</v>
      </c>
    </row>
    <row r="96" spans="1:3" x14ac:dyDescent="0.25">
      <c r="A96" s="2" t="s">
        <v>215</v>
      </c>
      <c r="B96" s="2">
        <v>100</v>
      </c>
      <c r="C96" s="2">
        <v>12</v>
      </c>
    </row>
    <row r="98" spans="2:3" x14ac:dyDescent="0.25">
      <c r="B98" s="1">
        <f>SUM(B6:B97)</f>
        <v>5295</v>
      </c>
      <c r="C98" s="1">
        <f>SUM(C6:C97)</f>
        <v>3387</v>
      </c>
    </row>
  </sheetData>
  <sortState ref="P5:R95">
    <sortCondition ref="P5:P95"/>
    <sortCondition ref="Q5:Q95"/>
  </sortState>
  <pageMargins left="0.7" right="0.7" top="0.75" bottom="0.75" header="0.3" footer="0.3"/>
  <pageSetup paperSize="9"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87"/>
  <sheetViews>
    <sheetView workbookViewId="0"/>
  </sheetViews>
  <sheetFormatPr defaultRowHeight="15" x14ac:dyDescent="0.25"/>
  <cols>
    <col min="1" max="1" width="16.28515625" customWidth="1"/>
    <col min="2" max="2" width="13.28515625" bestFit="1" customWidth="1"/>
    <col min="3" max="3" width="13.140625" bestFit="1" customWidth="1"/>
    <col min="4" max="4" width="12.28515625" customWidth="1"/>
    <col min="5" max="5" width="12.7109375" customWidth="1"/>
    <col min="6" max="6" width="11.5703125" style="32" customWidth="1"/>
    <col min="7" max="7" width="2.85546875" style="19" customWidth="1"/>
    <col min="8" max="8" width="15.5703125" customWidth="1"/>
    <col min="9" max="9" width="13.140625" bestFit="1" customWidth="1"/>
    <col min="10" max="10" width="11.85546875" customWidth="1"/>
    <col min="11" max="11" width="12.5703125" customWidth="1"/>
    <col min="12" max="12" width="9.140625" style="32"/>
    <col min="14" max="14" width="15.28515625" bestFit="1" customWidth="1"/>
    <col min="21" max="21" width="16.85546875" customWidth="1"/>
    <col min="26" max="26" width="3.28515625" customWidth="1"/>
    <col min="32" max="32" width="2.7109375" customWidth="1"/>
    <col min="38" max="38" width="3" customWidth="1"/>
    <col min="44" max="44" width="1.7109375" style="41" customWidth="1"/>
    <col min="50" max="50" width="3.28515625" customWidth="1"/>
    <col min="56" max="56" width="3.85546875" customWidth="1"/>
    <col min="62" max="62" width="3" customWidth="1"/>
  </cols>
  <sheetData>
    <row r="1" spans="1:67" x14ac:dyDescent="0.25">
      <c r="A1" s="15" t="s">
        <v>376</v>
      </c>
      <c r="B1" s="33"/>
      <c r="C1" s="33"/>
      <c r="D1" s="33"/>
      <c r="E1" s="33"/>
      <c r="F1" s="6"/>
      <c r="G1" s="33"/>
      <c r="H1" s="33"/>
      <c r="I1" s="33"/>
      <c r="J1" s="33"/>
      <c r="K1" s="33"/>
      <c r="L1" s="6"/>
      <c r="M1" s="33"/>
      <c r="N1" s="33"/>
    </row>
    <row r="2" spans="1:67" s="19" customFormat="1" x14ac:dyDescent="0.25">
      <c r="A2" s="15" t="s">
        <v>375</v>
      </c>
      <c r="B2" s="33"/>
      <c r="C2" s="33"/>
      <c r="D2" s="33"/>
      <c r="E2" s="33"/>
      <c r="F2" s="6"/>
      <c r="G2" s="33"/>
      <c r="H2" s="33"/>
      <c r="I2" s="33"/>
      <c r="J2" s="33"/>
      <c r="K2" s="33"/>
      <c r="L2" s="6"/>
      <c r="M2" s="33"/>
      <c r="N2" s="33"/>
      <c r="AR2" s="41"/>
    </row>
    <row r="3" spans="1:67" x14ac:dyDescent="0.25">
      <c r="A3" s="33"/>
      <c r="B3" s="33"/>
      <c r="C3" s="33"/>
      <c r="D3" s="33"/>
      <c r="E3" s="33"/>
      <c r="F3" s="6"/>
      <c r="G3" s="33"/>
      <c r="H3" s="33"/>
      <c r="I3" s="33"/>
      <c r="J3" s="33"/>
      <c r="K3" s="33"/>
      <c r="L3" s="6"/>
      <c r="M3" s="33"/>
      <c r="N3" s="33"/>
    </row>
    <row r="4" spans="1:67" x14ac:dyDescent="0.25">
      <c r="A4" s="33"/>
      <c r="B4" s="16" t="s">
        <v>313</v>
      </c>
      <c r="C4" s="33"/>
      <c r="D4" s="33"/>
      <c r="E4" s="33"/>
      <c r="F4" s="6"/>
      <c r="G4" s="33"/>
      <c r="H4" s="16" t="s">
        <v>312</v>
      </c>
      <c r="I4" s="33"/>
      <c r="J4" s="33"/>
      <c r="K4" s="33"/>
      <c r="L4" s="6"/>
      <c r="M4" s="33"/>
      <c r="O4" s="16" t="s">
        <v>313</v>
      </c>
      <c r="P4" s="16" t="s">
        <v>312</v>
      </c>
      <c r="U4" s="19" t="s">
        <v>299</v>
      </c>
      <c r="AS4" s="19" t="s">
        <v>299</v>
      </c>
      <c r="AT4" s="19"/>
    </row>
    <row r="5" spans="1:67" x14ac:dyDescent="0.25">
      <c r="A5" s="33"/>
      <c r="B5" s="33" t="s">
        <v>314</v>
      </c>
      <c r="C5" s="33" t="s">
        <v>315</v>
      </c>
      <c r="D5" s="33" t="s">
        <v>316</v>
      </c>
      <c r="E5" s="33" t="s">
        <v>317</v>
      </c>
      <c r="F5" s="6"/>
      <c r="G5" s="33"/>
      <c r="H5" s="33" t="s">
        <v>314</v>
      </c>
      <c r="I5" s="33" t="s">
        <v>315</v>
      </c>
      <c r="J5" s="33" t="s">
        <v>316</v>
      </c>
      <c r="K5" s="33" t="s">
        <v>317</v>
      </c>
      <c r="L5" s="6"/>
      <c r="M5" s="33"/>
      <c r="N5" s="33" t="s">
        <v>314</v>
      </c>
      <c r="O5" s="25">
        <f>B86/71</f>
        <v>48.802816901408448</v>
      </c>
      <c r="P5" s="25">
        <f>H86/79</f>
        <v>35.88607594936709</v>
      </c>
      <c r="U5" s="33"/>
      <c r="V5" s="16" t="s">
        <v>313</v>
      </c>
      <c r="W5" s="33"/>
      <c r="X5" s="33"/>
      <c r="Y5" s="33"/>
      <c r="AS5" s="16" t="s">
        <v>318</v>
      </c>
    </row>
    <row r="6" spans="1:67" x14ac:dyDescent="0.25">
      <c r="A6" s="2" t="s">
        <v>236</v>
      </c>
      <c r="B6" s="2">
        <v>0</v>
      </c>
      <c r="C6" s="2">
        <v>0</v>
      </c>
      <c r="D6" s="2">
        <v>0</v>
      </c>
      <c r="E6" s="2">
        <v>100</v>
      </c>
      <c r="F6" s="6">
        <f>SUM(B6:E6)</f>
        <v>100</v>
      </c>
      <c r="G6" s="2"/>
      <c r="H6" s="2">
        <v>0</v>
      </c>
      <c r="I6" s="2">
        <v>0</v>
      </c>
      <c r="J6" s="2">
        <v>0</v>
      </c>
      <c r="K6" s="2">
        <v>100</v>
      </c>
      <c r="L6" s="6">
        <f>SUM(H6:K6)</f>
        <v>100</v>
      </c>
      <c r="M6" s="33"/>
      <c r="N6" s="33" t="s">
        <v>315</v>
      </c>
      <c r="O6" s="25">
        <f>C86/71</f>
        <v>28.014084507042252</v>
      </c>
      <c r="P6" s="25">
        <f>I86/79</f>
        <v>23.569620253164558</v>
      </c>
      <c r="U6" s="33"/>
      <c r="V6" s="33" t="s">
        <v>314</v>
      </c>
      <c r="W6" s="33" t="s">
        <v>315</v>
      </c>
      <c r="X6" s="33" t="s">
        <v>316</v>
      </c>
      <c r="Y6" s="33" t="s">
        <v>317</v>
      </c>
      <c r="AB6" s="33" t="s">
        <v>314</v>
      </c>
      <c r="AC6" s="33" t="s">
        <v>315</v>
      </c>
      <c r="AD6" s="33" t="s">
        <v>316</v>
      </c>
      <c r="AE6" s="33" t="s">
        <v>317</v>
      </c>
      <c r="AH6" s="33" t="s">
        <v>314</v>
      </c>
      <c r="AI6" s="33" t="s">
        <v>315</v>
      </c>
      <c r="AJ6" s="33" t="s">
        <v>316</v>
      </c>
      <c r="AK6" s="33" t="s">
        <v>317</v>
      </c>
      <c r="AN6" s="33" t="s">
        <v>314</v>
      </c>
      <c r="AO6" s="33" t="s">
        <v>315</v>
      </c>
      <c r="AP6" s="33" t="s">
        <v>316</v>
      </c>
      <c r="AQ6" s="33" t="s">
        <v>317</v>
      </c>
      <c r="AT6" s="33" t="s">
        <v>314</v>
      </c>
      <c r="AU6" s="33" t="s">
        <v>315</v>
      </c>
      <c r="AV6" s="33" t="s">
        <v>316</v>
      </c>
      <c r="AW6" s="33" t="s">
        <v>317</v>
      </c>
      <c r="AZ6" s="33" t="s">
        <v>314</v>
      </c>
      <c r="BA6" s="33" t="s">
        <v>315</v>
      </c>
      <c r="BB6" s="33" t="s">
        <v>316</v>
      </c>
      <c r="BC6" s="33" t="s">
        <v>317</v>
      </c>
      <c r="BF6" s="33" t="s">
        <v>314</v>
      </c>
      <c r="BG6" s="33" t="s">
        <v>315</v>
      </c>
      <c r="BH6" s="33" t="s">
        <v>316</v>
      </c>
      <c r="BI6" s="33" t="s">
        <v>317</v>
      </c>
    </row>
    <row r="7" spans="1:67" x14ac:dyDescent="0.25">
      <c r="A7" s="2" t="s">
        <v>236</v>
      </c>
      <c r="B7" s="3">
        <v>0</v>
      </c>
      <c r="C7" s="3">
        <v>100</v>
      </c>
      <c r="D7" s="3">
        <v>0</v>
      </c>
      <c r="E7" s="3">
        <v>0</v>
      </c>
      <c r="F7" s="6">
        <f t="shared" ref="F7:F69" si="0">SUM(B7:E7)</f>
        <v>100</v>
      </c>
      <c r="G7" s="3"/>
      <c r="H7" s="3">
        <v>80</v>
      </c>
      <c r="I7" s="3">
        <v>10</v>
      </c>
      <c r="J7" s="3">
        <v>5</v>
      </c>
      <c r="K7" s="3">
        <v>5</v>
      </c>
      <c r="L7" s="6">
        <f t="shared" ref="L7:L69" si="1">SUM(H7:K7)</f>
        <v>100</v>
      </c>
      <c r="M7" s="33"/>
      <c r="N7" s="33" t="s">
        <v>316</v>
      </c>
      <c r="O7" s="25">
        <f>D86/71</f>
        <v>7.492957746478873</v>
      </c>
      <c r="P7" s="25">
        <f>J86/79</f>
        <v>19.379746835443036</v>
      </c>
      <c r="U7" s="2" t="s">
        <v>236</v>
      </c>
      <c r="V7" s="2">
        <v>0</v>
      </c>
      <c r="W7" s="2">
        <v>0</v>
      </c>
      <c r="X7" s="2">
        <v>0</v>
      </c>
      <c r="Y7" s="2">
        <v>100</v>
      </c>
      <c r="AA7" s="2" t="s">
        <v>237</v>
      </c>
      <c r="AB7" s="2">
        <v>0</v>
      </c>
      <c r="AC7" s="2">
        <v>100</v>
      </c>
      <c r="AD7" s="2">
        <v>0</v>
      </c>
      <c r="AE7" s="2">
        <v>0</v>
      </c>
      <c r="AG7" s="2" t="s">
        <v>238</v>
      </c>
      <c r="AH7" s="2">
        <v>0</v>
      </c>
      <c r="AI7" s="2">
        <v>10</v>
      </c>
      <c r="AJ7" s="2">
        <v>80</v>
      </c>
      <c r="AK7" s="2">
        <v>10</v>
      </c>
      <c r="AM7" s="2" t="s">
        <v>215</v>
      </c>
      <c r="AN7" s="2">
        <v>0</v>
      </c>
      <c r="AO7" s="2">
        <v>100</v>
      </c>
      <c r="AP7" s="2">
        <v>0</v>
      </c>
      <c r="AQ7" s="2">
        <v>0</v>
      </c>
      <c r="AS7" s="2" t="s">
        <v>236</v>
      </c>
      <c r="AT7" s="2">
        <v>0</v>
      </c>
      <c r="AU7" s="2">
        <v>0</v>
      </c>
      <c r="AV7" s="2">
        <v>0</v>
      </c>
      <c r="AW7" s="2">
        <v>100</v>
      </c>
      <c r="AX7" s="6"/>
      <c r="AY7" s="2" t="s">
        <v>237</v>
      </c>
      <c r="AZ7" s="2">
        <v>2</v>
      </c>
      <c r="BA7" s="2">
        <v>1</v>
      </c>
      <c r="BB7" s="2">
        <v>87</v>
      </c>
      <c r="BC7" s="2">
        <v>10</v>
      </c>
      <c r="BE7" s="2" t="s">
        <v>238</v>
      </c>
      <c r="BF7" s="2">
        <v>0</v>
      </c>
      <c r="BG7" s="2">
        <v>10</v>
      </c>
      <c r="BH7" s="2">
        <v>80</v>
      </c>
      <c r="BI7" s="2">
        <v>10</v>
      </c>
      <c r="BK7" s="2" t="s">
        <v>215</v>
      </c>
      <c r="BL7" s="2">
        <v>0</v>
      </c>
      <c r="BM7" s="2">
        <v>5</v>
      </c>
      <c r="BN7" s="2">
        <v>80</v>
      </c>
      <c r="BO7" s="2">
        <v>15</v>
      </c>
    </row>
    <row r="8" spans="1:67" x14ac:dyDescent="0.25">
      <c r="A8" s="2" t="s">
        <v>237</v>
      </c>
      <c r="B8" s="2">
        <v>0</v>
      </c>
      <c r="C8" s="2">
        <v>100</v>
      </c>
      <c r="D8" s="2">
        <v>0</v>
      </c>
      <c r="E8" s="2">
        <v>0</v>
      </c>
      <c r="F8" s="6">
        <f t="shared" si="0"/>
        <v>100</v>
      </c>
      <c r="G8" s="2"/>
      <c r="H8" s="2">
        <v>2</v>
      </c>
      <c r="I8" s="2">
        <v>1</v>
      </c>
      <c r="J8" s="2">
        <v>87</v>
      </c>
      <c r="K8" s="2">
        <v>10</v>
      </c>
      <c r="L8" s="6">
        <f t="shared" si="1"/>
        <v>100</v>
      </c>
      <c r="M8" s="33"/>
      <c r="N8" s="33" t="s">
        <v>317</v>
      </c>
      <c r="O8" s="25">
        <f>E86/71</f>
        <v>15.690140845070422</v>
      </c>
      <c r="P8" s="25">
        <f>K86/79</f>
        <v>21.164556962025316</v>
      </c>
      <c r="U8" s="2" t="s">
        <v>236</v>
      </c>
      <c r="V8" s="3">
        <v>0</v>
      </c>
      <c r="W8" s="3">
        <v>100</v>
      </c>
      <c r="X8" s="3">
        <v>0</v>
      </c>
      <c r="Y8" s="3">
        <v>0</v>
      </c>
      <c r="AA8" s="2" t="s">
        <v>237</v>
      </c>
      <c r="AB8" s="2">
        <v>10</v>
      </c>
      <c r="AC8" s="2"/>
      <c r="AD8" s="2">
        <v>90</v>
      </c>
      <c r="AE8" s="2"/>
      <c r="AG8" s="2" t="s">
        <v>238</v>
      </c>
      <c r="AH8" s="2">
        <v>0</v>
      </c>
      <c r="AI8" s="2">
        <v>0</v>
      </c>
      <c r="AJ8" s="2">
        <v>0</v>
      </c>
      <c r="AK8" s="2">
        <v>100</v>
      </c>
      <c r="AM8" s="2" t="s">
        <v>215</v>
      </c>
      <c r="AN8" s="2">
        <v>10</v>
      </c>
      <c r="AO8" s="2">
        <v>70</v>
      </c>
      <c r="AP8" s="2">
        <v>18</v>
      </c>
      <c r="AQ8" s="2">
        <v>2</v>
      </c>
      <c r="AS8" s="2" t="s">
        <v>236</v>
      </c>
      <c r="AT8" s="2">
        <v>2</v>
      </c>
      <c r="AU8" s="2">
        <v>5</v>
      </c>
      <c r="AV8" s="2">
        <v>78</v>
      </c>
      <c r="AW8" s="2">
        <v>15</v>
      </c>
      <c r="AX8" s="6"/>
      <c r="AY8" s="2" t="s">
        <v>237</v>
      </c>
      <c r="AZ8" s="2">
        <v>10</v>
      </c>
      <c r="BA8" s="2">
        <v>20</v>
      </c>
      <c r="BB8" s="2">
        <v>70</v>
      </c>
      <c r="BC8" s="2"/>
      <c r="BE8" s="2" t="s">
        <v>238</v>
      </c>
      <c r="BF8" s="2">
        <v>0</v>
      </c>
      <c r="BG8" s="2">
        <v>0</v>
      </c>
      <c r="BH8" s="2">
        <v>0</v>
      </c>
      <c r="BI8" s="2">
        <v>100</v>
      </c>
      <c r="BK8" s="2" t="s">
        <v>215</v>
      </c>
      <c r="BL8" s="2">
        <v>5</v>
      </c>
      <c r="BM8" s="2">
        <v>90</v>
      </c>
      <c r="BN8" s="2">
        <v>4</v>
      </c>
      <c r="BO8" s="2">
        <v>1</v>
      </c>
    </row>
    <row r="9" spans="1:67" x14ac:dyDescent="0.25">
      <c r="A9" s="2" t="s">
        <v>238</v>
      </c>
      <c r="B9" s="2">
        <v>0</v>
      </c>
      <c r="C9" s="2">
        <v>10</v>
      </c>
      <c r="D9" s="2">
        <v>80</v>
      </c>
      <c r="E9" s="2">
        <v>10</v>
      </c>
      <c r="F9" s="6">
        <f t="shared" si="0"/>
        <v>100</v>
      </c>
      <c r="G9" s="2"/>
      <c r="H9" s="2">
        <v>0</v>
      </c>
      <c r="I9" s="2">
        <v>10</v>
      </c>
      <c r="J9" s="2">
        <v>80</v>
      </c>
      <c r="K9" s="2">
        <v>10</v>
      </c>
      <c r="L9" s="6">
        <f t="shared" si="1"/>
        <v>100</v>
      </c>
      <c r="M9" s="33"/>
      <c r="N9" s="33"/>
      <c r="O9" s="38">
        <f>SUM(O5:O8)</f>
        <v>100</v>
      </c>
      <c r="P9" s="38">
        <f>SUM(P5:P8)</f>
        <v>100</v>
      </c>
      <c r="U9" s="2" t="s">
        <v>236</v>
      </c>
      <c r="V9" s="2">
        <v>10</v>
      </c>
      <c r="W9" s="2">
        <v>80</v>
      </c>
      <c r="X9" s="2">
        <v>10</v>
      </c>
      <c r="Y9" s="2"/>
      <c r="AA9" s="2" t="s">
        <v>237</v>
      </c>
      <c r="AB9" s="2">
        <v>85</v>
      </c>
      <c r="AC9" s="2">
        <v>5</v>
      </c>
      <c r="AD9" s="2">
        <v>5</v>
      </c>
      <c r="AE9" s="2">
        <v>5</v>
      </c>
      <c r="AG9" s="2" t="s">
        <v>238</v>
      </c>
      <c r="AH9" s="2">
        <v>5</v>
      </c>
      <c r="AI9" s="2">
        <v>95</v>
      </c>
      <c r="AJ9" s="2"/>
      <c r="AK9" s="2"/>
      <c r="AM9" s="2" t="s">
        <v>215</v>
      </c>
      <c r="AN9" s="2">
        <v>20</v>
      </c>
      <c r="AO9" s="2">
        <v>70</v>
      </c>
      <c r="AP9" s="2">
        <v>5</v>
      </c>
      <c r="AQ9" s="2">
        <v>5</v>
      </c>
      <c r="AS9" s="2" t="s">
        <v>236</v>
      </c>
      <c r="AT9" s="2">
        <v>2</v>
      </c>
      <c r="AU9" s="2">
        <v>25</v>
      </c>
      <c r="AV9" s="2">
        <v>40</v>
      </c>
      <c r="AW9" s="2">
        <v>33</v>
      </c>
      <c r="AX9" s="6"/>
      <c r="AY9" s="2" t="s">
        <v>237</v>
      </c>
      <c r="AZ9" s="2">
        <v>15</v>
      </c>
      <c r="BA9" s="2">
        <v>0</v>
      </c>
      <c r="BB9" s="2">
        <v>10</v>
      </c>
      <c r="BC9" s="2">
        <v>75</v>
      </c>
      <c r="BE9" s="2" t="s">
        <v>238</v>
      </c>
      <c r="BF9" s="2">
        <v>0</v>
      </c>
      <c r="BG9" s="2">
        <v>0</v>
      </c>
      <c r="BH9" s="2">
        <v>50</v>
      </c>
      <c r="BI9" s="2">
        <v>50</v>
      </c>
      <c r="BK9" s="2" t="s">
        <v>215</v>
      </c>
      <c r="BL9" s="2">
        <v>6</v>
      </c>
      <c r="BM9" s="2">
        <v>6</v>
      </c>
      <c r="BN9" s="2">
        <v>58</v>
      </c>
      <c r="BO9" s="2">
        <v>30</v>
      </c>
    </row>
    <row r="10" spans="1:67" x14ac:dyDescent="0.25">
      <c r="A10" s="2" t="s">
        <v>238</v>
      </c>
      <c r="B10" s="2">
        <v>0</v>
      </c>
      <c r="C10" s="2">
        <v>0</v>
      </c>
      <c r="D10" s="2">
        <v>0</v>
      </c>
      <c r="E10" s="2">
        <v>100</v>
      </c>
      <c r="F10" s="6">
        <f t="shared" si="0"/>
        <v>100</v>
      </c>
      <c r="G10" s="2"/>
      <c r="H10" s="2">
        <v>0</v>
      </c>
      <c r="I10" s="2">
        <v>0</v>
      </c>
      <c r="J10" s="2">
        <v>0</v>
      </c>
      <c r="K10" s="2">
        <v>100</v>
      </c>
      <c r="L10" s="6">
        <f t="shared" si="1"/>
        <v>100</v>
      </c>
      <c r="M10" s="33"/>
      <c r="U10" s="2" t="s">
        <v>236</v>
      </c>
      <c r="V10" s="2">
        <v>10</v>
      </c>
      <c r="W10" s="2">
        <v>10</v>
      </c>
      <c r="X10" s="2">
        <v>40</v>
      </c>
      <c r="Y10" s="2">
        <v>40</v>
      </c>
      <c r="AA10" s="2" t="s">
        <v>237</v>
      </c>
      <c r="AB10" s="2">
        <v>100</v>
      </c>
      <c r="AC10" s="2"/>
      <c r="AD10" s="2"/>
      <c r="AE10" s="2"/>
      <c r="AG10" s="2" t="s">
        <v>238</v>
      </c>
      <c r="AH10" s="2">
        <v>10</v>
      </c>
      <c r="AI10" s="2">
        <v>20</v>
      </c>
      <c r="AJ10" s="2">
        <v>20</v>
      </c>
      <c r="AK10" s="2">
        <v>50</v>
      </c>
      <c r="AM10" s="2" t="s">
        <v>215</v>
      </c>
      <c r="AN10" s="2">
        <v>80</v>
      </c>
      <c r="AO10" s="2">
        <v>10</v>
      </c>
      <c r="AP10" s="2"/>
      <c r="AQ10" s="2">
        <v>10</v>
      </c>
      <c r="AS10" s="2" t="s">
        <v>236</v>
      </c>
      <c r="AT10" s="2">
        <v>5</v>
      </c>
      <c r="AU10" s="2">
        <v>15</v>
      </c>
      <c r="AV10" s="2">
        <v>40</v>
      </c>
      <c r="AW10" s="2">
        <v>40</v>
      </c>
      <c r="AX10" s="6"/>
      <c r="AY10" s="2" t="s">
        <v>237</v>
      </c>
      <c r="AZ10" s="2">
        <v>25</v>
      </c>
      <c r="BA10" s="2">
        <v>25</v>
      </c>
      <c r="BB10" s="2">
        <v>25</v>
      </c>
      <c r="BC10" s="2">
        <v>25</v>
      </c>
      <c r="BE10" s="2" t="s">
        <v>238</v>
      </c>
      <c r="BF10" s="2">
        <v>0</v>
      </c>
      <c r="BG10" s="2">
        <v>100</v>
      </c>
      <c r="BH10" s="2">
        <v>0</v>
      </c>
      <c r="BI10" s="2">
        <v>0</v>
      </c>
      <c r="BK10" s="2" t="s">
        <v>215</v>
      </c>
      <c r="BL10" s="2">
        <v>10</v>
      </c>
      <c r="BM10" s="2">
        <v>20</v>
      </c>
      <c r="BN10" s="2">
        <v>20</v>
      </c>
      <c r="BO10" s="2">
        <v>50</v>
      </c>
    </row>
    <row r="11" spans="1:67" x14ac:dyDescent="0.25">
      <c r="A11" s="2" t="s">
        <v>215</v>
      </c>
      <c r="B11" s="2">
        <v>0</v>
      </c>
      <c r="C11" s="2">
        <v>100</v>
      </c>
      <c r="D11" s="2">
        <v>0</v>
      </c>
      <c r="E11" s="2">
        <v>0</v>
      </c>
      <c r="F11" s="6">
        <f t="shared" si="0"/>
        <v>100</v>
      </c>
      <c r="G11" s="2"/>
      <c r="H11" s="2">
        <v>10</v>
      </c>
      <c r="I11" s="2">
        <v>20</v>
      </c>
      <c r="J11" s="2">
        <v>20</v>
      </c>
      <c r="K11" s="2">
        <v>50</v>
      </c>
      <c r="L11" s="6">
        <f t="shared" si="1"/>
        <v>100</v>
      </c>
      <c r="M11" s="33"/>
      <c r="N11" s="33"/>
      <c r="U11" s="2" t="s">
        <v>236</v>
      </c>
      <c r="V11" s="2">
        <v>20</v>
      </c>
      <c r="W11" s="2">
        <v>50</v>
      </c>
      <c r="X11" s="2">
        <v>20</v>
      </c>
      <c r="Y11" s="2">
        <v>10</v>
      </c>
      <c r="AA11" s="2" t="s">
        <v>237</v>
      </c>
      <c r="AB11" s="2">
        <v>100</v>
      </c>
      <c r="AC11" s="2"/>
      <c r="AD11" s="2"/>
      <c r="AE11" s="2"/>
      <c r="AG11" s="2" t="s">
        <v>238</v>
      </c>
      <c r="AH11" s="2">
        <v>10</v>
      </c>
      <c r="AI11" s="2">
        <v>20</v>
      </c>
      <c r="AJ11" s="2">
        <v>30</v>
      </c>
      <c r="AK11" s="2">
        <v>40</v>
      </c>
      <c r="AM11" s="2" t="s">
        <v>215</v>
      </c>
      <c r="AN11" s="2">
        <v>100</v>
      </c>
      <c r="AO11" s="2"/>
      <c r="AP11" s="2"/>
      <c r="AQ11" s="2"/>
      <c r="AS11" s="2" t="s">
        <v>236</v>
      </c>
      <c r="AT11" s="2">
        <v>5</v>
      </c>
      <c r="AU11" s="2">
        <v>10</v>
      </c>
      <c r="AV11" s="2">
        <v>10</v>
      </c>
      <c r="AW11" s="2">
        <v>75</v>
      </c>
      <c r="AX11" s="6"/>
      <c r="AY11" s="2" t="s">
        <v>237</v>
      </c>
      <c r="AZ11" s="2">
        <v>50</v>
      </c>
      <c r="BA11" s="2">
        <v>20</v>
      </c>
      <c r="BB11" s="2">
        <v>15</v>
      </c>
      <c r="BC11" s="2">
        <v>15</v>
      </c>
      <c r="BE11" s="2" t="s">
        <v>238</v>
      </c>
      <c r="BF11" s="2">
        <v>5</v>
      </c>
      <c r="BG11" s="2">
        <v>50</v>
      </c>
      <c r="BH11" s="2">
        <v>45</v>
      </c>
      <c r="BI11" s="2"/>
      <c r="BK11" s="2" t="s">
        <v>215</v>
      </c>
      <c r="BL11" s="2">
        <v>15</v>
      </c>
      <c r="BM11" s="2">
        <v>15</v>
      </c>
      <c r="BN11" s="2">
        <v>10</v>
      </c>
      <c r="BO11" s="2">
        <v>60</v>
      </c>
    </row>
    <row r="12" spans="1:67" x14ac:dyDescent="0.25">
      <c r="A12" s="2" t="s">
        <v>238</v>
      </c>
      <c r="B12" s="2">
        <v>5</v>
      </c>
      <c r="C12" s="2">
        <v>95</v>
      </c>
      <c r="D12" s="2"/>
      <c r="E12" s="2"/>
      <c r="F12" s="6">
        <f t="shared" si="0"/>
        <v>100</v>
      </c>
      <c r="G12" s="2"/>
      <c r="H12" s="2">
        <v>5</v>
      </c>
      <c r="I12" s="2">
        <v>50</v>
      </c>
      <c r="J12" s="2">
        <v>45</v>
      </c>
      <c r="K12" s="2"/>
      <c r="L12" s="6">
        <f t="shared" si="1"/>
        <v>100</v>
      </c>
      <c r="M12" s="33"/>
      <c r="N12" s="33"/>
      <c r="U12" s="2" t="s">
        <v>236</v>
      </c>
      <c r="V12" s="2">
        <v>25</v>
      </c>
      <c r="W12" s="2">
        <v>70</v>
      </c>
      <c r="X12" s="2">
        <v>5</v>
      </c>
      <c r="Y12" s="2"/>
      <c r="AG12" s="2" t="s">
        <v>238</v>
      </c>
      <c r="AH12" s="2">
        <v>10</v>
      </c>
      <c r="AI12" s="2"/>
      <c r="AJ12" s="2"/>
      <c r="AK12" s="2">
        <v>90</v>
      </c>
      <c r="AM12" s="2" t="s">
        <v>215</v>
      </c>
      <c r="AN12" s="2"/>
      <c r="AO12" s="2"/>
      <c r="AP12" s="2"/>
      <c r="AQ12" s="2">
        <v>100</v>
      </c>
      <c r="AS12" s="2" t="s">
        <v>236</v>
      </c>
      <c r="AT12" s="2">
        <v>10</v>
      </c>
      <c r="AU12" s="2">
        <v>40</v>
      </c>
      <c r="AV12" s="2">
        <v>25</v>
      </c>
      <c r="AW12" s="2">
        <v>25</v>
      </c>
      <c r="AX12" s="6"/>
      <c r="BE12" s="2" t="s">
        <v>238</v>
      </c>
      <c r="BF12" s="2">
        <v>10</v>
      </c>
      <c r="BG12" s="2">
        <v>20</v>
      </c>
      <c r="BH12" s="2">
        <v>20</v>
      </c>
      <c r="BI12" s="2">
        <v>50</v>
      </c>
      <c r="BK12" s="2" t="s">
        <v>215</v>
      </c>
      <c r="BL12" s="2">
        <v>20</v>
      </c>
      <c r="BM12" s="2">
        <v>70</v>
      </c>
      <c r="BN12" s="2">
        <v>5</v>
      </c>
      <c r="BO12" s="2">
        <v>5</v>
      </c>
    </row>
    <row r="13" spans="1:67" x14ac:dyDescent="0.25">
      <c r="A13" s="2" t="s">
        <v>236</v>
      </c>
      <c r="B13" s="2">
        <v>10</v>
      </c>
      <c r="C13" s="2">
        <v>80</v>
      </c>
      <c r="D13" s="2">
        <v>10</v>
      </c>
      <c r="E13" s="2"/>
      <c r="F13" s="6">
        <f t="shared" si="0"/>
        <v>100</v>
      </c>
      <c r="G13" s="2"/>
      <c r="H13" s="2">
        <v>10</v>
      </c>
      <c r="I13" s="2">
        <v>40</v>
      </c>
      <c r="J13" s="2">
        <v>25</v>
      </c>
      <c r="K13" s="2">
        <v>25</v>
      </c>
      <c r="L13" s="6">
        <f t="shared" si="1"/>
        <v>100</v>
      </c>
      <c r="M13" s="33"/>
      <c r="N13" s="33"/>
      <c r="U13" s="2" t="s">
        <v>236</v>
      </c>
      <c r="V13" s="2">
        <v>30</v>
      </c>
      <c r="W13" s="2">
        <v>60</v>
      </c>
      <c r="X13" s="2">
        <v>5</v>
      </c>
      <c r="Y13" s="2">
        <v>5</v>
      </c>
      <c r="AB13">
        <f>SUM(AB7:AB12)</f>
        <v>295</v>
      </c>
      <c r="AC13" s="19">
        <f>SUM(AC7:AC12)</f>
        <v>105</v>
      </c>
      <c r="AD13" s="19">
        <f>SUM(AD7:AD12)</f>
        <v>95</v>
      </c>
      <c r="AE13" s="19">
        <f>SUM(AE7:AE12)</f>
        <v>5</v>
      </c>
      <c r="AG13" s="2" t="s">
        <v>238</v>
      </c>
      <c r="AH13" s="2">
        <v>10</v>
      </c>
      <c r="AI13" s="2">
        <v>10</v>
      </c>
      <c r="AJ13" s="2">
        <v>10</v>
      </c>
      <c r="AK13" s="2">
        <v>70</v>
      </c>
      <c r="AM13" s="2"/>
      <c r="AN13" s="2">
        <f>SUM(AN7:AN12)</f>
        <v>210</v>
      </c>
      <c r="AO13" s="2">
        <f>SUM(AO7:AO12)</f>
        <v>250</v>
      </c>
      <c r="AP13" s="2">
        <f>SUM(AP7:AP12)</f>
        <v>23</v>
      </c>
      <c r="AQ13" s="2">
        <f>SUM(AQ7:AQ12)</f>
        <v>117</v>
      </c>
      <c r="AS13" s="2" t="s">
        <v>236</v>
      </c>
      <c r="AT13" s="2">
        <v>10</v>
      </c>
      <c r="AU13" s="2">
        <v>10</v>
      </c>
      <c r="AV13" s="2">
        <v>40</v>
      </c>
      <c r="AW13" s="2">
        <v>40</v>
      </c>
      <c r="AX13" s="6"/>
      <c r="AZ13">
        <f>SUM(AZ7:AZ12)</f>
        <v>102</v>
      </c>
      <c r="BA13" s="19">
        <f>SUM(BA7:BA12)</f>
        <v>66</v>
      </c>
      <c r="BB13" s="19">
        <f>SUM(BB7:BB12)</f>
        <v>207</v>
      </c>
      <c r="BC13" s="19">
        <f>SUM(BC7:BC12)</f>
        <v>125</v>
      </c>
      <c r="BE13" s="2" t="s">
        <v>238</v>
      </c>
      <c r="BF13" s="2">
        <v>10</v>
      </c>
      <c r="BG13" s="2">
        <v>40</v>
      </c>
      <c r="BH13" s="2">
        <v>40</v>
      </c>
      <c r="BI13" s="2">
        <v>10</v>
      </c>
      <c r="BK13" s="2" t="s">
        <v>215</v>
      </c>
      <c r="BL13" s="2">
        <v>80</v>
      </c>
      <c r="BM13" s="2">
        <v>10</v>
      </c>
      <c r="BN13" s="2">
        <v>5</v>
      </c>
      <c r="BO13" s="2">
        <v>5</v>
      </c>
    </row>
    <row r="14" spans="1:67" x14ac:dyDescent="0.25">
      <c r="A14" s="2" t="s">
        <v>236</v>
      </c>
      <c r="B14" s="2">
        <v>10</v>
      </c>
      <c r="C14" s="2">
        <v>10</v>
      </c>
      <c r="D14" s="2">
        <v>40</v>
      </c>
      <c r="E14" s="2">
        <v>40</v>
      </c>
      <c r="F14" s="6">
        <f t="shared" si="0"/>
        <v>100</v>
      </c>
      <c r="G14" s="2"/>
      <c r="H14" s="2">
        <v>10</v>
      </c>
      <c r="I14" s="2">
        <v>10</v>
      </c>
      <c r="J14" s="2">
        <v>40</v>
      </c>
      <c r="K14" s="2">
        <v>40</v>
      </c>
      <c r="L14" s="6">
        <f t="shared" si="1"/>
        <v>100</v>
      </c>
      <c r="N14" s="33"/>
      <c r="U14" s="2" t="s">
        <v>236</v>
      </c>
      <c r="V14" s="2">
        <v>30</v>
      </c>
      <c r="W14" s="2">
        <v>70</v>
      </c>
      <c r="X14" s="2">
        <v>0</v>
      </c>
      <c r="Y14" s="2">
        <v>0</v>
      </c>
      <c r="AG14" s="2" t="s">
        <v>238</v>
      </c>
      <c r="AH14" s="2">
        <v>20</v>
      </c>
      <c r="AI14" s="2">
        <v>60</v>
      </c>
      <c r="AJ14" s="2"/>
      <c r="AK14" s="2">
        <v>20</v>
      </c>
      <c r="AS14" s="2" t="s">
        <v>236</v>
      </c>
      <c r="AT14" s="2">
        <v>10</v>
      </c>
      <c r="AU14" s="2">
        <v>30</v>
      </c>
      <c r="AV14" s="2">
        <v>20</v>
      </c>
      <c r="AW14" s="2">
        <v>40</v>
      </c>
      <c r="AX14" s="6"/>
      <c r="BE14" s="2" t="s">
        <v>238</v>
      </c>
      <c r="BF14" s="2">
        <v>10</v>
      </c>
      <c r="BG14" s="2">
        <v>75</v>
      </c>
      <c r="BH14" s="2">
        <v>10</v>
      </c>
      <c r="BI14" s="2">
        <v>5</v>
      </c>
    </row>
    <row r="15" spans="1:67" x14ac:dyDescent="0.25">
      <c r="A15" s="2" t="s">
        <v>237</v>
      </c>
      <c r="B15" s="2">
        <v>10</v>
      </c>
      <c r="C15" s="2"/>
      <c r="D15" s="2">
        <v>90</v>
      </c>
      <c r="E15" s="2"/>
      <c r="F15" s="6">
        <f t="shared" si="0"/>
        <v>100</v>
      </c>
      <c r="G15" s="2"/>
      <c r="H15" s="2">
        <v>15</v>
      </c>
      <c r="I15" s="2">
        <v>0</v>
      </c>
      <c r="J15" s="2">
        <v>10</v>
      </c>
      <c r="K15" s="2">
        <v>75</v>
      </c>
      <c r="L15" s="6">
        <f t="shared" si="1"/>
        <v>100</v>
      </c>
      <c r="U15" s="2" t="s">
        <v>236</v>
      </c>
      <c r="V15" s="2">
        <v>75</v>
      </c>
      <c r="W15" s="2">
        <v>0</v>
      </c>
      <c r="X15" s="2">
        <v>15</v>
      </c>
      <c r="Y15" s="2">
        <v>10</v>
      </c>
      <c r="AG15" s="2" t="s">
        <v>238</v>
      </c>
      <c r="AH15" s="2">
        <v>20</v>
      </c>
      <c r="AI15" s="2">
        <v>70</v>
      </c>
      <c r="AJ15" s="2">
        <v>10</v>
      </c>
      <c r="AK15" s="2"/>
      <c r="AS15" s="2" t="s">
        <v>236</v>
      </c>
      <c r="AT15" s="2">
        <v>10</v>
      </c>
      <c r="AU15" s="2">
        <v>5</v>
      </c>
      <c r="AV15" s="2">
        <v>50</v>
      </c>
      <c r="AW15" s="2">
        <v>35</v>
      </c>
      <c r="AX15" s="6"/>
      <c r="BE15" s="2" t="s">
        <v>238</v>
      </c>
      <c r="BF15" s="2">
        <v>10</v>
      </c>
      <c r="BG15" s="2">
        <v>20</v>
      </c>
      <c r="BH15" s="2">
        <v>20</v>
      </c>
      <c r="BI15" s="2">
        <v>50</v>
      </c>
      <c r="BL15">
        <f>SUM(BL7:BL14)</f>
        <v>136</v>
      </c>
      <c r="BM15" s="19">
        <f>SUM(BM7:BM14)</f>
        <v>216</v>
      </c>
      <c r="BN15" s="19">
        <f>SUM(BN7:BN14)</f>
        <v>182</v>
      </c>
      <c r="BO15" s="19">
        <f>SUM(BO7:BO14)</f>
        <v>166</v>
      </c>
    </row>
    <row r="16" spans="1:67" x14ac:dyDescent="0.25">
      <c r="A16" s="2" t="s">
        <v>238</v>
      </c>
      <c r="B16" s="2">
        <v>10</v>
      </c>
      <c r="C16" s="2">
        <v>20</v>
      </c>
      <c r="D16" s="2">
        <v>20</v>
      </c>
      <c r="E16" s="2">
        <v>50</v>
      </c>
      <c r="F16" s="6">
        <f t="shared" si="0"/>
        <v>100</v>
      </c>
      <c r="G16" s="2"/>
      <c r="H16" s="2">
        <v>10</v>
      </c>
      <c r="I16" s="2">
        <v>20</v>
      </c>
      <c r="J16" s="2">
        <v>20</v>
      </c>
      <c r="K16" s="2">
        <v>50</v>
      </c>
      <c r="L16" s="6">
        <f t="shared" si="1"/>
        <v>100</v>
      </c>
      <c r="U16" s="2" t="s">
        <v>236</v>
      </c>
      <c r="V16" s="2">
        <v>80</v>
      </c>
      <c r="W16" s="2">
        <v>10</v>
      </c>
      <c r="X16" s="2">
        <v>0</v>
      </c>
      <c r="Y16" s="2">
        <v>10</v>
      </c>
      <c r="AG16" s="2" t="s">
        <v>238</v>
      </c>
      <c r="AH16" s="2">
        <v>25</v>
      </c>
      <c r="AI16" s="2">
        <v>25</v>
      </c>
      <c r="AJ16" s="2">
        <v>25</v>
      </c>
      <c r="AK16" s="2">
        <v>25</v>
      </c>
      <c r="AS16" s="2" t="s">
        <v>236</v>
      </c>
      <c r="AT16" s="2">
        <v>20</v>
      </c>
      <c r="AU16" s="2">
        <v>50</v>
      </c>
      <c r="AV16" s="2">
        <v>20</v>
      </c>
      <c r="AW16" s="2">
        <v>10</v>
      </c>
      <c r="AX16" s="6"/>
      <c r="BE16" s="2" t="s">
        <v>238</v>
      </c>
      <c r="BF16" s="2">
        <v>15</v>
      </c>
      <c r="BG16" s="2">
        <v>15</v>
      </c>
      <c r="BH16" s="2">
        <v>20</v>
      </c>
      <c r="BI16" s="2">
        <v>50</v>
      </c>
    </row>
    <row r="17" spans="1:61" x14ac:dyDescent="0.25">
      <c r="A17" s="2" t="s">
        <v>238</v>
      </c>
      <c r="B17" s="2">
        <v>10</v>
      </c>
      <c r="C17" s="2">
        <v>20</v>
      </c>
      <c r="D17" s="2">
        <v>30</v>
      </c>
      <c r="E17" s="2">
        <v>40</v>
      </c>
      <c r="F17" s="6">
        <f t="shared" si="0"/>
        <v>100</v>
      </c>
      <c r="G17" s="2"/>
      <c r="H17" s="2">
        <v>15</v>
      </c>
      <c r="I17" s="2">
        <v>15</v>
      </c>
      <c r="J17" s="2">
        <v>20</v>
      </c>
      <c r="K17" s="2">
        <v>50</v>
      </c>
      <c r="L17" s="6">
        <f t="shared" si="1"/>
        <v>100</v>
      </c>
      <c r="U17" s="2" t="s">
        <v>236</v>
      </c>
      <c r="V17" s="3">
        <v>80</v>
      </c>
      <c r="W17" s="3">
        <v>5</v>
      </c>
      <c r="X17" s="3">
        <v>5</v>
      </c>
      <c r="Y17" s="3">
        <v>10</v>
      </c>
      <c r="AG17" s="2" t="s">
        <v>238</v>
      </c>
      <c r="AH17" s="2">
        <v>30</v>
      </c>
      <c r="AI17" s="2">
        <v>20</v>
      </c>
      <c r="AJ17" s="2">
        <v>40</v>
      </c>
      <c r="AK17" s="2">
        <v>10</v>
      </c>
      <c r="AS17" s="2" t="s">
        <v>236</v>
      </c>
      <c r="AT17" s="2">
        <v>20</v>
      </c>
      <c r="AU17" s="2">
        <v>45</v>
      </c>
      <c r="AV17" s="2">
        <v>5</v>
      </c>
      <c r="AW17" s="2">
        <v>30</v>
      </c>
      <c r="AX17" s="6"/>
      <c r="BE17" s="2" t="s">
        <v>238</v>
      </c>
      <c r="BF17" s="2">
        <v>20</v>
      </c>
      <c r="BG17" s="2">
        <v>70</v>
      </c>
      <c r="BH17" s="2">
        <v>10</v>
      </c>
      <c r="BI17" s="2"/>
    </row>
    <row r="18" spans="1:61" x14ac:dyDescent="0.25">
      <c r="A18" s="2" t="s">
        <v>238</v>
      </c>
      <c r="B18" s="2">
        <v>10</v>
      </c>
      <c r="C18" s="2"/>
      <c r="D18" s="2"/>
      <c r="E18" s="2">
        <v>90</v>
      </c>
      <c r="F18" s="6">
        <f t="shared" si="0"/>
        <v>100</v>
      </c>
      <c r="G18" s="2"/>
      <c r="H18" s="2">
        <v>80</v>
      </c>
      <c r="I18" s="2"/>
      <c r="J18" s="2"/>
      <c r="K18" s="2">
        <v>20</v>
      </c>
      <c r="L18" s="6">
        <f t="shared" si="1"/>
        <v>100</v>
      </c>
      <c r="U18" s="2" t="s">
        <v>236</v>
      </c>
      <c r="V18" s="2">
        <v>95</v>
      </c>
      <c r="W18" s="2"/>
      <c r="X18" s="2">
        <v>2</v>
      </c>
      <c r="Y18" s="2">
        <v>3</v>
      </c>
      <c r="AG18" s="2" t="s">
        <v>238</v>
      </c>
      <c r="AH18" s="2">
        <v>40</v>
      </c>
      <c r="AI18" s="2">
        <v>30</v>
      </c>
      <c r="AJ18" s="2">
        <v>20</v>
      </c>
      <c r="AK18" s="2">
        <v>10</v>
      </c>
      <c r="AS18" s="2" t="s">
        <v>236</v>
      </c>
      <c r="AT18" s="2">
        <v>30</v>
      </c>
      <c r="AU18" s="2">
        <v>35</v>
      </c>
      <c r="AV18" s="2">
        <v>10</v>
      </c>
      <c r="AW18" s="2">
        <v>25</v>
      </c>
      <c r="AX18" s="6"/>
      <c r="BE18" s="2" t="s">
        <v>238</v>
      </c>
      <c r="BF18" s="2">
        <v>25</v>
      </c>
      <c r="BG18" s="2">
        <v>25</v>
      </c>
      <c r="BH18" s="2">
        <v>25</v>
      </c>
      <c r="BI18" s="2">
        <v>25</v>
      </c>
    </row>
    <row r="19" spans="1:61" x14ac:dyDescent="0.25">
      <c r="A19" s="2" t="s">
        <v>238</v>
      </c>
      <c r="B19" s="2">
        <v>10</v>
      </c>
      <c r="C19" s="2">
        <v>10</v>
      </c>
      <c r="D19" s="2">
        <v>10</v>
      </c>
      <c r="E19" s="2">
        <v>70</v>
      </c>
      <c r="F19" s="6">
        <f t="shared" si="0"/>
        <v>100</v>
      </c>
      <c r="G19" s="2"/>
      <c r="H19" s="2">
        <v>0</v>
      </c>
      <c r="I19" s="2">
        <v>0</v>
      </c>
      <c r="J19" s="2">
        <v>50</v>
      </c>
      <c r="K19" s="2">
        <v>50</v>
      </c>
      <c r="L19" s="6">
        <f t="shared" si="1"/>
        <v>100</v>
      </c>
      <c r="U19" s="2" t="s">
        <v>236</v>
      </c>
      <c r="V19" s="2">
        <v>98</v>
      </c>
      <c r="W19" s="2">
        <v>0</v>
      </c>
      <c r="X19" s="2">
        <v>1</v>
      </c>
      <c r="Y19" s="2">
        <v>1</v>
      </c>
      <c r="AG19" s="2" t="s">
        <v>238</v>
      </c>
      <c r="AH19" s="2">
        <v>48</v>
      </c>
      <c r="AI19" s="2">
        <v>40</v>
      </c>
      <c r="AJ19" s="2">
        <v>10</v>
      </c>
      <c r="AK19" s="2">
        <v>2</v>
      </c>
      <c r="AS19" s="2" t="s">
        <v>236</v>
      </c>
      <c r="AT19" s="2">
        <v>30</v>
      </c>
      <c r="AU19" s="2">
        <v>40</v>
      </c>
      <c r="AV19" s="2">
        <v>15</v>
      </c>
      <c r="AW19" s="2">
        <v>15</v>
      </c>
      <c r="AX19" s="6"/>
      <c r="BE19" s="2" t="s">
        <v>238</v>
      </c>
      <c r="BF19" s="2">
        <v>30</v>
      </c>
      <c r="BG19" s="2">
        <v>20</v>
      </c>
      <c r="BH19" s="2">
        <v>40</v>
      </c>
      <c r="BI19" s="2">
        <v>10</v>
      </c>
    </row>
    <row r="20" spans="1:61" x14ac:dyDescent="0.25">
      <c r="A20" s="2" t="s">
        <v>215</v>
      </c>
      <c r="B20" s="2">
        <v>10</v>
      </c>
      <c r="C20" s="2">
        <v>70</v>
      </c>
      <c r="D20" s="2">
        <v>18</v>
      </c>
      <c r="E20" s="2">
        <v>2</v>
      </c>
      <c r="F20" s="6">
        <f t="shared" si="0"/>
        <v>100</v>
      </c>
      <c r="G20" s="2"/>
      <c r="H20" s="2">
        <v>5</v>
      </c>
      <c r="I20" s="2">
        <v>90</v>
      </c>
      <c r="J20" s="2">
        <v>4</v>
      </c>
      <c r="K20" s="2">
        <v>1</v>
      </c>
      <c r="L20" s="6">
        <f t="shared" si="1"/>
        <v>100</v>
      </c>
      <c r="U20" s="2" t="s">
        <v>236</v>
      </c>
      <c r="V20" s="2">
        <v>99</v>
      </c>
      <c r="W20" s="2">
        <v>0</v>
      </c>
      <c r="X20" s="2">
        <v>1</v>
      </c>
      <c r="Y20" s="2">
        <v>0</v>
      </c>
      <c r="AG20" s="2" t="s">
        <v>238</v>
      </c>
      <c r="AH20" s="2">
        <v>70</v>
      </c>
      <c r="AI20" s="2">
        <v>10</v>
      </c>
      <c r="AJ20" s="2">
        <v>10</v>
      </c>
      <c r="AK20" s="2">
        <v>10</v>
      </c>
      <c r="AS20" s="2" t="s">
        <v>236</v>
      </c>
      <c r="AT20" s="2">
        <v>40</v>
      </c>
      <c r="AU20" s="2">
        <v>25</v>
      </c>
      <c r="AV20" s="2">
        <v>30</v>
      </c>
      <c r="AW20" s="2">
        <v>5</v>
      </c>
      <c r="AX20" s="6"/>
      <c r="BE20" s="2" t="s">
        <v>238</v>
      </c>
      <c r="BF20" s="2">
        <v>30</v>
      </c>
      <c r="BG20" s="2">
        <v>5</v>
      </c>
      <c r="BH20" s="2">
        <v>40</v>
      </c>
      <c r="BI20" s="2">
        <v>25</v>
      </c>
    </row>
    <row r="21" spans="1:61" x14ac:dyDescent="0.25">
      <c r="A21" s="2" t="s">
        <v>236</v>
      </c>
      <c r="B21" s="2">
        <v>20</v>
      </c>
      <c r="C21" s="2">
        <v>50</v>
      </c>
      <c r="D21" s="2">
        <v>20</v>
      </c>
      <c r="E21" s="2">
        <v>10</v>
      </c>
      <c r="F21" s="6">
        <f t="shared" si="0"/>
        <v>100</v>
      </c>
      <c r="G21" s="2"/>
      <c r="H21" s="2">
        <v>20</v>
      </c>
      <c r="I21" s="2">
        <v>50</v>
      </c>
      <c r="J21" s="2">
        <v>20</v>
      </c>
      <c r="K21" s="2">
        <v>10</v>
      </c>
      <c r="L21" s="6">
        <f t="shared" si="1"/>
        <v>100</v>
      </c>
      <c r="U21" s="2" t="s">
        <v>236</v>
      </c>
      <c r="V21" s="2">
        <v>100</v>
      </c>
      <c r="W21" s="2"/>
      <c r="X21" s="2"/>
      <c r="Y21" s="2"/>
      <c r="AG21" s="2" t="s">
        <v>238</v>
      </c>
      <c r="AH21" s="2">
        <v>70</v>
      </c>
      <c r="AI21" s="2">
        <v>5</v>
      </c>
      <c r="AJ21" s="2">
        <v>0</v>
      </c>
      <c r="AK21" s="2">
        <v>25</v>
      </c>
      <c r="AS21" s="2" t="s">
        <v>236</v>
      </c>
      <c r="AT21" s="2">
        <v>50</v>
      </c>
      <c r="AU21" s="2">
        <v>25</v>
      </c>
      <c r="AV21" s="2">
        <v>20</v>
      </c>
      <c r="AW21" s="2">
        <v>5</v>
      </c>
      <c r="AX21" s="6"/>
      <c r="BE21" s="2" t="s">
        <v>238</v>
      </c>
      <c r="BF21" s="2">
        <v>35</v>
      </c>
      <c r="BG21" s="2">
        <v>0</v>
      </c>
      <c r="BH21" s="2">
        <v>5</v>
      </c>
      <c r="BI21" s="2">
        <v>60</v>
      </c>
    </row>
    <row r="22" spans="1:61" x14ac:dyDescent="0.25">
      <c r="A22" s="2" t="s">
        <v>238</v>
      </c>
      <c r="B22" s="2">
        <v>20</v>
      </c>
      <c r="C22" s="2">
        <v>60</v>
      </c>
      <c r="D22" s="2"/>
      <c r="E22" s="2">
        <v>20</v>
      </c>
      <c r="F22" s="6">
        <f t="shared" si="0"/>
        <v>100</v>
      </c>
      <c r="G22" s="2"/>
      <c r="H22" s="2">
        <v>40</v>
      </c>
      <c r="I22" s="2">
        <v>10</v>
      </c>
      <c r="J22" s="2">
        <v>10</v>
      </c>
      <c r="K22" s="2">
        <v>40</v>
      </c>
      <c r="L22" s="6">
        <f t="shared" si="1"/>
        <v>100</v>
      </c>
      <c r="U22" s="2" t="s">
        <v>236</v>
      </c>
      <c r="V22" s="2">
        <v>100</v>
      </c>
      <c r="W22" s="2"/>
      <c r="X22" s="2"/>
      <c r="Y22" s="2"/>
      <c r="AG22" s="2" t="s">
        <v>238</v>
      </c>
      <c r="AH22" s="2">
        <v>80</v>
      </c>
      <c r="AI22" s="2">
        <v>0</v>
      </c>
      <c r="AJ22" s="2">
        <v>0</v>
      </c>
      <c r="AK22" s="2">
        <v>20</v>
      </c>
      <c r="AS22" s="2" t="s">
        <v>236</v>
      </c>
      <c r="AT22" s="2">
        <v>70</v>
      </c>
      <c r="AU22" s="2">
        <v>10</v>
      </c>
      <c r="AV22" s="2">
        <v>10</v>
      </c>
      <c r="AW22" s="2">
        <v>10</v>
      </c>
      <c r="AX22" s="6"/>
      <c r="BE22" s="2" t="s">
        <v>238</v>
      </c>
      <c r="BF22" s="2">
        <v>40</v>
      </c>
      <c r="BG22" s="2">
        <v>10</v>
      </c>
      <c r="BH22" s="2">
        <v>10</v>
      </c>
      <c r="BI22" s="2">
        <v>40</v>
      </c>
    </row>
    <row r="23" spans="1:61" x14ac:dyDescent="0.25">
      <c r="A23" s="2" t="s">
        <v>238</v>
      </c>
      <c r="B23" s="2">
        <v>20</v>
      </c>
      <c r="C23" s="2">
        <v>70</v>
      </c>
      <c r="D23" s="2">
        <v>10</v>
      </c>
      <c r="E23" s="2"/>
      <c r="F23" s="6">
        <f t="shared" si="0"/>
        <v>100</v>
      </c>
      <c r="G23" s="2"/>
      <c r="H23" s="2">
        <v>10</v>
      </c>
      <c r="I23" s="2">
        <v>40</v>
      </c>
      <c r="J23" s="2">
        <v>40</v>
      </c>
      <c r="K23" s="2">
        <v>10</v>
      </c>
      <c r="L23" s="6">
        <f t="shared" si="1"/>
        <v>100</v>
      </c>
      <c r="U23" s="2" t="s">
        <v>236</v>
      </c>
      <c r="V23" s="3">
        <v>100</v>
      </c>
      <c r="W23" s="3">
        <v>0</v>
      </c>
      <c r="X23" s="3">
        <v>0</v>
      </c>
      <c r="Y23" s="3">
        <v>0</v>
      </c>
      <c r="AG23" s="2" t="s">
        <v>238</v>
      </c>
      <c r="AH23" s="2">
        <v>85</v>
      </c>
      <c r="AI23" s="2">
        <v>15</v>
      </c>
      <c r="AJ23" s="2"/>
      <c r="AK23" s="2"/>
      <c r="AS23" s="2" t="s">
        <v>236</v>
      </c>
      <c r="AT23" s="2">
        <v>70</v>
      </c>
      <c r="AU23" s="2">
        <v>10</v>
      </c>
      <c r="AV23" s="2">
        <v>10</v>
      </c>
      <c r="AW23" s="2">
        <v>10</v>
      </c>
      <c r="AX23" s="6"/>
      <c r="BE23" s="2" t="s">
        <v>238</v>
      </c>
      <c r="BF23" s="2">
        <v>40</v>
      </c>
      <c r="BG23" s="2">
        <v>30</v>
      </c>
      <c r="BH23" s="2">
        <v>20</v>
      </c>
      <c r="BI23" s="2">
        <v>10</v>
      </c>
    </row>
    <row r="24" spans="1:61" x14ac:dyDescent="0.25">
      <c r="A24" s="2" t="s">
        <v>215</v>
      </c>
      <c r="B24" s="2">
        <v>20</v>
      </c>
      <c r="C24" s="2">
        <v>70</v>
      </c>
      <c r="D24" s="2">
        <v>5</v>
      </c>
      <c r="E24" s="2">
        <v>5</v>
      </c>
      <c r="F24" s="6">
        <f t="shared" si="0"/>
        <v>100</v>
      </c>
      <c r="G24" s="2"/>
      <c r="H24" s="2">
        <v>20</v>
      </c>
      <c r="I24" s="2">
        <v>70</v>
      </c>
      <c r="J24" s="2">
        <v>5</v>
      </c>
      <c r="K24" s="2">
        <v>5</v>
      </c>
      <c r="L24" s="6">
        <f t="shared" si="1"/>
        <v>100</v>
      </c>
      <c r="U24" s="2" t="s">
        <v>236</v>
      </c>
      <c r="V24" s="2">
        <v>100</v>
      </c>
      <c r="W24" s="2"/>
      <c r="X24" s="2"/>
      <c r="Y24" s="2"/>
      <c r="AG24" s="2" t="s">
        <v>238</v>
      </c>
      <c r="AH24" s="2">
        <v>90</v>
      </c>
      <c r="AI24" s="2"/>
      <c r="AJ24" s="2"/>
      <c r="AK24" s="2">
        <v>10</v>
      </c>
      <c r="AS24" s="2" t="s">
        <v>236</v>
      </c>
      <c r="AT24" s="2">
        <v>75</v>
      </c>
      <c r="AU24" s="2">
        <v>0</v>
      </c>
      <c r="AV24" s="2">
        <v>15</v>
      </c>
      <c r="AW24" s="2">
        <v>10</v>
      </c>
      <c r="AX24" s="6"/>
      <c r="BE24" s="2" t="s">
        <v>238</v>
      </c>
      <c r="BF24" s="2">
        <v>40</v>
      </c>
      <c r="BG24" s="2">
        <v>40</v>
      </c>
      <c r="BH24" s="2">
        <v>15</v>
      </c>
      <c r="BI24" s="2">
        <v>5</v>
      </c>
    </row>
    <row r="25" spans="1:61" x14ac:dyDescent="0.25">
      <c r="A25" s="2" t="s">
        <v>236</v>
      </c>
      <c r="B25" s="2">
        <v>25</v>
      </c>
      <c r="C25" s="2">
        <v>70</v>
      </c>
      <c r="D25" s="2">
        <v>5</v>
      </c>
      <c r="E25" s="2"/>
      <c r="F25" s="6">
        <f t="shared" si="0"/>
        <v>100</v>
      </c>
      <c r="G25" s="2"/>
      <c r="H25" s="2">
        <v>5</v>
      </c>
      <c r="I25" s="2">
        <v>15</v>
      </c>
      <c r="J25" s="2">
        <v>40</v>
      </c>
      <c r="K25" s="2">
        <v>40</v>
      </c>
      <c r="L25" s="6">
        <f t="shared" si="1"/>
        <v>100</v>
      </c>
      <c r="U25" s="2" t="s">
        <v>236</v>
      </c>
      <c r="V25" s="2">
        <v>100</v>
      </c>
      <c r="W25" s="2"/>
      <c r="X25" s="2"/>
      <c r="Y25" s="2"/>
      <c r="AG25" s="2" t="s">
        <v>238</v>
      </c>
      <c r="AH25" s="2">
        <v>90</v>
      </c>
      <c r="AI25" s="2">
        <v>10</v>
      </c>
      <c r="AJ25" s="2">
        <v>0</v>
      </c>
      <c r="AK25" s="2">
        <v>0</v>
      </c>
      <c r="AS25" s="2" t="s">
        <v>236</v>
      </c>
      <c r="AT25" s="3">
        <v>80</v>
      </c>
      <c r="AU25" s="3">
        <v>10</v>
      </c>
      <c r="AV25" s="3">
        <v>5</v>
      </c>
      <c r="AW25" s="3">
        <v>5</v>
      </c>
      <c r="AX25" s="6"/>
      <c r="BE25" s="2" t="s">
        <v>238</v>
      </c>
      <c r="BF25" s="2">
        <v>45</v>
      </c>
      <c r="BG25" s="2">
        <v>15</v>
      </c>
      <c r="BH25" s="2">
        <v>20</v>
      </c>
      <c r="BI25" s="2">
        <v>20</v>
      </c>
    </row>
    <row r="26" spans="1:61" x14ac:dyDescent="0.25">
      <c r="A26" s="2" t="s">
        <v>238</v>
      </c>
      <c r="B26" s="2">
        <v>25</v>
      </c>
      <c r="C26" s="2">
        <v>25</v>
      </c>
      <c r="D26" s="2">
        <v>25</v>
      </c>
      <c r="E26" s="2">
        <v>25</v>
      </c>
      <c r="F26" s="6">
        <f t="shared" si="0"/>
        <v>100</v>
      </c>
      <c r="G26" s="2"/>
      <c r="H26" s="2">
        <v>25</v>
      </c>
      <c r="I26" s="2">
        <v>25</v>
      </c>
      <c r="J26" s="2">
        <v>25</v>
      </c>
      <c r="K26" s="2">
        <v>25</v>
      </c>
      <c r="L26" s="6">
        <f t="shared" si="1"/>
        <v>100</v>
      </c>
      <c r="U26" s="2" t="s">
        <v>236</v>
      </c>
      <c r="V26" s="2">
        <v>100</v>
      </c>
      <c r="W26" s="2"/>
      <c r="X26" s="2"/>
      <c r="Y26" s="2"/>
      <c r="AG26" s="2" t="s">
        <v>238</v>
      </c>
      <c r="AH26" s="2">
        <v>95</v>
      </c>
      <c r="AI26" s="2">
        <v>0</v>
      </c>
      <c r="AJ26" s="2">
        <v>0</v>
      </c>
      <c r="AK26" s="2">
        <v>5</v>
      </c>
      <c r="AS26" s="2" t="s">
        <v>236</v>
      </c>
      <c r="AT26" s="3">
        <v>80</v>
      </c>
      <c r="AU26" s="3">
        <v>5</v>
      </c>
      <c r="AV26" s="3">
        <v>5</v>
      </c>
      <c r="AW26" s="3">
        <v>10</v>
      </c>
      <c r="AX26" s="6"/>
      <c r="BE26" s="2" t="s">
        <v>238</v>
      </c>
      <c r="BF26" s="2">
        <v>48</v>
      </c>
      <c r="BG26" s="2">
        <v>40</v>
      </c>
      <c r="BH26" s="2">
        <v>10</v>
      </c>
      <c r="BI26" s="2">
        <v>2</v>
      </c>
    </row>
    <row r="27" spans="1:61" x14ac:dyDescent="0.25">
      <c r="A27" s="2" t="s">
        <v>236</v>
      </c>
      <c r="B27" s="2">
        <v>30</v>
      </c>
      <c r="C27" s="2">
        <v>60</v>
      </c>
      <c r="D27" s="2">
        <v>5</v>
      </c>
      <c r="E27" s="2">
        <v>5</v>
      </c>
      <c r="F27" s="6">
        <f t="shared" si="0"/>
        <v>100</v>
      </c>
      <c r="G27" s="2"/>
      <c r="H27" s="2">
        <v>30</v>
      </c>
      <c r="I27" s="2">
        <v>35</v>
      </c>
      <c r="J27" s="2">
        <v>10</v>
      </c>
      <c r="K27" s="2">
        <v>25</v>
      </c>
      <c r="L27" s="6">
        <f t="shared" si="1"/>
        <v>100</v>
      </c>
      <c r="U27" s="2" t="s">
        <v>236</v>
      </c>
      <c r="V27" s="2">
        <v>100</v>
      </c>
      <c r="W27" s="2"/>
      <c r="X27" s="2"/>
      <c r="Y27" s="2"/>
      <c r="AG27" s="2" t="s">
        <v>238</v>
      </c>
      <c r="AH27" s="2">
        <v>100</v>
      </c>
      <c r="AI27" s="2"/>
      <c r="AJ27" s="2"/>
      <c r="AK27" s="2"/>
      <c r="AS27" s="2" t="s">
        <v>236</v>
      </c>
      <c r="AT27" s="2">
        <v>80</v>
      </c>
      <c r="AU27" s="2"/>
      <c r="AV27" s="2">
        <v>20</v>
      </c>
      <c r="AW27" s="2"/>
      <c r="AX27" s="6"/>
      <c r="BE27" s="2" t="s">
        <v>238</v>
      </c>
      <c r="BF27" s="2">
        <v>50</v>
      </c>
      <c r="BG27" s="2">
        <v>0</v>
      </c>
      <c r="BH27" s="2">
        <v>40</v>
      </c>
      <c r="BI27" s="2">
        <v>10</v>
      </c>
    </row>
    <row r="28" spans="1:61" x14ac:dyDescent="0.25">
      <c r="A28" s="2" t="s">
        <v>236</v>
      </c>
      <c r="B28" s="2">
        <v>30</v>
      </c>
      <c r="C28" s="2">
        <v>70</v>
      </c>
      <c r="D28" s="2">
        <v>0</v>
      </c>
      <c r="E28" s="2">
        <v>0</v>
      </c>
      <c r="F28" s="6">
        <f t="shared" si="0"/>
        <v>100</v>
      </c>
      <c r="G28" s="2"/>
      <c r="H28" s="2">
        <v>30</v>
      </c>
      <c r="I28" s="2">
        <v>40</v>
      </c>
      <c r="J28" s="2">
        <v>15</v>
      </c>
      <c r="K28" s="2">
        <v>15</v>
      </c>
      <c r="L28" s="6">
        <f t="shared" si="1"/>
        <v>100</v>
      </c>
      <c r="U28" s="2" t="s">
        <v>236</v>
      </c>
      <c r="V28" s="2">
        <v>100</v>
      </c>
      <c r="W28" s="2"/>
      <c r="X28" s="2"/>
      <c r="Y28" s="2"/>
      <c r="AG28" s="2" t="s">
        <v>238</v>
      </c>
      <c r="AH28" s="2">
        <v>100</v>
      </c>
      <c r="AI28" s="2">
        <v>0</v>
      </c>
      <c r="AJ28" s="2">
        <v>0</v>
      </c>
      <c r="AK28" s="2">
        <v>0</v>
      </c>
      <c r="AS28" s="2" t="s">
        <v>236</v>
      </c>
      <c r="AT28" s="2">
        <v>80</v>
      </c>
      <c r="AU28" s="2">
        <v>10</v>
      </c>
      <c r="AV28" s="2">
        <v>5</v>
      </c>
      <c r="AW28" s="2">
        <v>5</v>
      </c>
      <c r="AX28" s="6"/>
      <c r="BE28" s="2" t="s">
        <v>238</v>
      </c>
      <c r="BF28" s="2">
        <v>50</v>
      </c>
      <c r="BG28" s="2"/>
      <c r="BH28" s="2">
        <v>45</v>
      </c>
      <c r="BI28" s="2">
        <v>5</v>
      </c>
    </row>
    <row r="29" spans="1:61" x14ac:dyDescent="0.25">
      <c r="A29" s="2" t="s">
        <v>238</v>
      </c>
      <c r="B29" s="2">
        <v>30</v>
      </c>
      <c r="C29" s="2">
        <v>20</v>
      </c>
      <c r="D29" s="2">
        <v>40</v>
      </c>
      <c r="E29" s="2">
        <v>10</v>
      </c>
      <c r="F29" s="6">
        <f t="shared" si="0"/>
        <v>100</v>
      </c>
      <c r="G29" s="2"/>
      <c r="H29" s="2">
        <v>30</v>
      </c>
      <c r="I29" s="2">
        <v>20</v>
      </c>
      <c r="J29" s="2">
        <v>40</v>
      </c>
      <c r="K29" s="2">
        <v>10</v>
      </c>
      <c r="L29" s="6">
        <f t="shared" si="1"/>
        <v>100</v>
      </c>
      <c r="U29" s="2" t="s">
        <v>236</v>
      </c>
      <c r="V29" s="2"/>
      <c r="W29" s="2">
        <v>90</v>
      </c>
      <c r="X29" s="2">
        <v>5</v>
      </c>
      <c r="Y29" s="2">
        <v>5</v>
      </c>
      <c r="AG29" s="2" t="s">
        <v>238</v>
      </c>
      <c r="AH29" s="2">
        <v>100</v>
      </c>
      <c r="AI29" s="2"/>
      <c r="AJ29" s="2"/>
      <c r="AK29" s="2"/>
      <c r="AS29" s="2" t="s">
        <v>236</v>
      </c>
      <c r="AT29" s="3">
        <v>85</v>
      </c>
      <c r="AU29" s="3">
        <v>0</v>
      </c>
      <c r="AV29" s="3">
        <v>5</v>
      </c>
      <c r="AW29" s="3">
        <v>10</v>
      </c>
      <c r="AX29" s="6"/>
      <c r="BE29" s="2" t="s">
        <v>238</v>
      </c>
      <c r="BF29" s="2">
        <v>70</v>
      </c>
      <c r="BG29" s="2">
        <v>10</v>
      </c>
      <c r="BH29" s="2">
        <v>10</v>
      </c>
      <c r="BI29" s="2">
        <v>10</v>
      </c>
    </row>
    <row r="30" spans="1:61" x14ac:dyDescent="0.25">
      <c r="A30" s="2" t="s">
        <v>238</v>
      </c>
      <c r="B30" s="2">
        <v>40</v>
      </c>
      <c r="C30" s="2">
        <v>30</v>
      </c>
      <c r="D30" s="2">
        <v>20</v>
      </c>
      <c r="E30" s="2">
        <v>10</v>
      </c>
      <c r="F30" s="6">
        <f t="shared" si="0"/>
        <v>100</v>
      </c>
      <c r="G30" s="2"/>
      <c r="H30" s="2">
        <v>50</v>
      </c>
      <c r="I30" s="2">
        <v>0</v>
      </c>
      <c r="J30" s="2">
        <v>40</v>
      </c>
      <c r="K30" s="2">
        <v>10</v>
      </c>
      <c r="L30" s="6">
        <f t="shared" si="1"/>
        <v>100</v>
      </c>
      <c r="U30" s="2" t="s">
        <v>236</v>
      </c>
      <c r="V30" s="2"/>
      <c r="W30" s="2">
        <v>100</v>
      </c>
      <c r="X30" s="2"/>
      <c r="Y30" s="2"/>
      <c r="AG30" s="2" t="s">
        <v>238</v>
      </c>
      <c r="AH30" s="2">
        <v>100</v>
      </c>
      <c r="AI30" s="2">
        <v>0</v>
      </c>
      <c r="AJ30" s="2">
        <v>0</v>
      </c>
      <c r="AK30" s="2">
        <v>0</v>
      </c>
      <c r="AS30" s="2" t="s">
        <v>236</v>
      </c>
      <c r="AT30" s="2">
        <v>90</v>
      </c>
      <c r="AU30" s="2">
        <v>5</v>
      </c>
      <c r="AV30" s="2">
        <v>1</v>
      </c>
      <c r="AW30" s="2">
        <v>4</v>
      </c>
      <c r="AX30" s="6"/>
      <c r="BE30" s="2" t="s">
        <v>238</v>
      </c>
      <c r="BF30" s="2">
        <v>70</v>
      </c>
      <c r="BG30" s="2">
        <v>20</v>
      </c>
      <c r="BH30" s="2">
        <v>0</v>
      </c>
      <c r="BI30" s="2">
        <v>10</v>
      </c>
    </row>
    <row r="31" spans="1:61" x14ac:dyDescent="0.25">
      <c r="A31" s="2" t="s">
        <v>238</v>
      </c>
      <c r="B31" s="2">
        <v>48</v>
      </c>
      <c r="C31" s="2">
        <v>40</v>
      </c>
      <c r="D31" s="2">
        <v>10</v>
      </c>
      <c r="E31" s="2">
        <v>2</v>
      </c>
      <c r="F31" s="6">
        <f t="shared" si="0"/>
        <v>100</v>
      </c>
      <c r="G31" s="2"/>
      <c r="H31" s="2">
        <v>48</v>
      </c>
      <c r="I31" s="2">
        <v>40</v>
      </c>
      <c r="J31" s="2">
        <v>10</v>
      </c>
      <c r="K31" s="2">
        <v>2</v>
      </c>
      <c r="L31" s="6">
        <f t="shared" si="1"/>
        <v>100</v>
      </c>
      <c r="U31" s="2" t="s">
        <v>236</v>
      </c>
      <c r="V31" s="2"/>
      <c r="W31" s="2">
        <v>100</v>
      </c>
      <c r="X31" s="2"/>
      <c r="Y31" s="2"/>
      <c r="AG31" s="2" t="s">
        <v>238</v>
      </c>
      <c r="AH31" s="2">
        <v>100</v>
      </c>
      <c r="AI31" s="2"/>
      <c r="AJ31" s="2"/>
      <c r="AK31" s="2"/>
      <c r="AS31" s="2" t="s">
        <v>236</v>
      </c>
      <c r="AT31" s="2">
        <v>95</v>
      </c>
      <c r="AU31" s="2"/>
      <c r="AV31" s="2">
        <v>3</v>
      </c>
      <c r="AW31" s="2">
        <v>2</v>
      </c>
      <c r="AX31" s="6"/>
      <c r="BE31" s="2" t="s">
        <v>238</v>
      </c>
      <c r="BF31" s="2">
        <v>75</v>
      </c>
      <c r="BG31" s="2"/>
      <c r="BH31" s="2">
        <v>20</v>
      </c>
      <c r="BI31" s="2">
        <v>5</v>
      </c>
    </row>
    <row r="32" spans="1:61" x14ac:dyDescent="0.25">
      <c r="A32" s="2" t="s">
        <v>238</v>
      </c>
      <c r="B32" s="2">
        <v>70</v>
      </c>
      <c r="C32" s="2">
        <v>10</v>
      </c>
      <c r="D32" s="2">
        <v>10</v>
      </c>
      <c r="E32" s="2">
        <v>10</v>
      </c>
      <c r="F32" s="6">
        <f t="shared" si="0"/>
        <v>100</v>
      </c>
      <c r="G32" s="2"/>
      <c r="H32" s="2">
        <v>70</v>
      </c>
      <c r="I32" s="2">
        <v>10</v>
      </c>
      <c r="J32" s="2">
        <v>10</v>
      </c>
      <c r="K32" s="2">
        <v>10</v>
      </c>
      <c r="L32" s="6">
        <f t="shared" si="1"/>
        <v>100</v>
      </c>
      <c r="U32" s="2"/>
      <c r="V32" s="2"/>
      <c r="W32" s="2"/>
      <c r="X32" s="2"/>
      <c r="Y32" s="2"/>
      <c r="AG32" s="2" t="s">
        <v>238</v>
      </c>
      <c r="AH32" s="2">
        <v>100</v>
      </c>
      <c r="AI32" s="2"/>
      <c r="AJ32" s="2"/>
      <c r="AK32" s="2"/>
      <c r="AS32" s="2" t="s">
        <v>236</v>
      </c>
      <c r="AT32" s="2">
        <v>100</v>
      </c>
      <c r="AU32" s="2"/>
      <c r="AV32" s="2"/>
      <c r="AW32" s="2"/>
      <c r="AX32" s="6"/>
      <c r="BE32" s="2" t="s">
        <v>238</v>
      </c>
      <c r="BF32" s="2">
        <v>75</v>
      </c>
      <c r="BG32" s="2">
        <v>10</v>
      </c>
      <c r="BH32" s="2">
        <v>5</v>
      </c>
      <c r="BI32" s="2">
        <v>10</v>
      </c>
    </row>
    <row r="33" spans="1:61" x14ac:dyDescent="0.25">
      <c r="A33" s="2" t="s">
        <v>238</v>
      </c>
      <c r="B33" s="2">
        <v>70</v>
      </c>
      <c r="C33" s="2">
        <v>5</v>
      </c>
      <c r="D33" s="2">
        <v>0</v>
      </c>
      <c r="E33" s="2">
        <v>25</v>
      </c>
      <c r="F33" s="6">
        <f t="shared" si="0"/>
        <v>100</v>
      </c>
      <c r="G33" s="2"/>
      <c r="H33" s="2">
        <v>35</v>
      </c>
      <c r="I33" s="2">
        <v>0</v>
      </c>
      <c r="J33" s="2">
        <v>5</v>
      </c>
      <c r="K33" s="2">
        <v>60</v>
      </c>
      <c r="L33" s="6">
        <f t="shared" si="1"/>
        <v>100</v>
      </c>
      <c r="V33">
        <f>SUM(V7:V32)</f>
        <v>1452</v>
      </c>
      <c r="W33" s="19">
        <f>SUM(W7:W32)</f>
        <v>745</v>
      </c>
      <c r="X33" s="19">
        <f>SUM(X7:X32)</f>
        <v>109</v>
      </c>
      <c r="Y33" s="19">
        <f>SUM(Y7:Y32)</f>
        <v>194</v>
      </c>
      <c r="AG33" s="2" t="s">
        <v>238</v>
      </c>
      <c r="AH33" s="2">
        <v>100</v>
      </c>
      <c r="AI33" s="2"/>
      <c r="AJ33" s="2"/>
      <c r="AK33" s="2"/>
      <c r="AX33" s="6"/>
      <c r="BE33" s="2" t="s">
        <v>238</v>
      </c>
      <c r="BF33" s="2">
        <v>80</v>
      </c>
      <c r="BG33" s="2"/>
      <c r="BH33" s="2"/>
      <c r="BI33" s="2">
        <v>20</v>
      </c>
    </row>
    <row r="34" spans="1:61" x14ac:dyDescent="0.25">
      <c r="A34" s="2" t="s">
        <v>236</v>
      </c>
      <c r="B34" s="2">
        <v>75</v>
      </c>
      <c r="C34" s="2">
        <v>0</v>
      </c>
      <c r="D34" s="2">
        <v>15</v>
      </c>
      <c r="E34" s="2">
        <v>10</v>
      </c>
      <c r="F34" s="6">
        <f t="shared" si="0"/>
        <v>100</v>
      </c>
      <c r="G34" s="2"/>
      <c r="H34" s="2">
        <v>75</v>
      </c>
      <c r="I34" s="2">
        <v>0</v>
      </c>
      <c r="J34" s="2">
        <v>15</v>
      </c>
      <c r="K34" s="2">
        <v>10</v>
      </c>
      <c r="L34" s="6">
        <f t="shared" si="1"/>
        <v>100</v>
      </c>
      <c r="AG34" s="2" t="s">
        <v>238</v>
      </c>
      <c r="AH34" s="2"/>
      <c r="AI34" s="2">
        <v>100</v>
      </c>
      <c r="AJ34" s="2"/>
      <c r="AK34" s="2"/>
      <c r="AT34">
        <f>SUM(AT7:AT33)</f>
        <v>1149</v>
      </c>
      <c r="AU34" s="19">
        <f>SUM(AU7:AU33)</f>
        <v>410</v>
      </c>
      <c r="AV34" s="19">
        <f>SUM(AV7:AV33)</f>
        <v>482</v>
      </c>
      <c r="AW34" s="19">
        <f>SUM(AW7:AW33)</f>
        <v>559</v>
      </c>
      <c r="AX34" s="6"/>
      <c r="BE34" s="2" t="s">
        <v>238</v>
      </c>
      <c r="BF34" s="2">
        <v>80</v>
      </c>
      <c r="BG34" s="2">
        <v>10</v>
      </c>
      <c r="BH34" s="2">
        <v>10</v>
      </c>
      <c r="BI34" s="2"/>
    </row>
    <row r="35" spans="1:61" x14ac:dyDescent="0.25">
      <c r="A35" s="2" t="s">
        <v>236</v>
      </c>
      <c r="B35" s="2">
        <v>80</v>
      </c>
      <c r="C35" s="2">
        <v>10</v>
      </c>
      <c r="D35" s="2">
        <v>0</v>
      </c>
      <c r="E35" s="2">
        <v>10</v>
      </c>
      <c r="F35" s="6">
        <f t="shared" si="0"/>
        <v>100</v>
      </c>
      <c r="G35" s="2"/>
      <c r="H35" s="2">
        <v>70</v>
      </c>
      <c r="I35" s="2">
        <v>10</v>
      </c>
      <c r="J35" s="2">
        <v>10</v>
      </c>
      <c r="K35" s="2">
        <v>10</v>
      </c>
      <c r="L35" s="6">
        <f t="shared" si="1"/>
        <v>100</v>
      </c>
      <c r="AG35" s="2" t="s">
        <v>238</v>
      </c>
      <c r="AH35" s="2"/>
      <c r="AI35" s="2">
        <v>100</v>
      </c>
      <c r="AJ35" s="2"/>
      <c r="AK35" s="2"/>
      <c r="AX35" s="6"/>
      <c r="BE35" s="2" t="s">
        <v>238</v>
      </c>
      <c r="BF35" s="2">
        <v>90</v>
      </c>
      <c r="BG35" s="2"/>
      <c r="BH35" s="2"/>
      <c r="BI35" s="2">
        <v>10</v>
      </c>
    </row>
    <row r="36" spans="1:61" x14ac:dyDescent="0.25">
      <c r="A36" s="2" t="s">
        <v>236</v>
      </c>
      <c r="B36" s="3">
        <v>80</v>
      </c>
      <c r="C36" s="3">
        <v>5</v>
      </c>
      <c r="D36" s="3">
        <v>5</v>
      </c>
      <c r="E36" s="3">
        <v>10</v>
      </c>
      <c r="F36" s="6">
        <f t="shared" si="0"/>
        <v>100</v>
      </c>
      <c r="G36" s="3"/>
      <c r="H36" s="3">
        <v>80</v>
      </c>
      <c r="I36" s="3">
        <v>5</v>
      </c>
      <c r="J36" s="3">
        <v>5</v>
      </c>
      <c r="K36" s="3">
        <v>10</v>
      </c>
      <c r="L36" s="6">
        <f t="shared" si="1"/>
        <v>100</v>
      </c>
      <c r="AG36" s="2" t="s">
        <v>238</v>
      </c>
      <c r="AH36" s="2"/>
      <c r="AI36" s="2"/>
      <c r="AJ36" s="2"/>
      <c r="AK36" s="2">
        <v>100</v>
      </c>
      <c r="AX36" s="6"/>
      <c r="BE36" s="2" t="s">
        <v>238</v>
      </c>
      <c r="BF36" s="2">
        <v>95</v>
      </c>
      <c r="BG36" s="2"/>
      <c r="BH36" s="2"/>
      <c r="BI36" s="2">
        <v>5</v>
      </c>
    </row>
    <row r="37" spans="1:61" x14ac:dyDescent="0.25">
      <c r="A37" s="2" t="s">
        <v>238</v>
      </c>
      <c r="B37" s="2">
        <v>80</v>
      </c>
      <c r="C37" s="2">
        <v>0</v>
      </c>
      <c r="D37" s="2">
        <v>0</v>
      </c>
      <c r="E37" s="2">
        <v>20</v>
      </c>
      <c r="F37" s="6">
        <f t="shared" si="0"/>
        <v>100</v>
      </c>
      <c r="G37" s="2"/>
      <c r="H37" s="2">
        <v>40</v>
      </c>
      <c r="I37" s="2">
        <v>30</v>
      </c>
      <c r="J37" s="2">
        <v>20</v>
      </c>
      <c r="K37" s="2">
        <v>10</v>
      </c>
      <c r="L37" s="6">
        <f t="shared" si="1"/>
        <v>100</v>
      </c>
      <c r="U37" s="16" t="s">
        <v>299</v>
      </c>
      <c r="V37" s="33"/>
      <c r="W37" s="33"/>
      <c r="X37" s="33"/>
      <c r="Y37" s="33"/>
      <c r="Z37" s="33"/>
      <c r="AG37" s="2" t="s">
        <v>238</v>
      </c>
      <c r="AH37" s="2"/>
      <c r="AI37" s="2">
        <v>100</v>
      </c>
      <c r="AJ37" s="2"/>
      <c r="AK37" s="2"/>
      <c r="AX37" s="6"/>
      <c r="BE37" s="2" t="s">
        <v>238</v>
      </c>
      <c r="BF37" s="2">
        <v>100</v>
      </c>
      <c r="BG37" s="2"/>
      <c r="BH37" s="2"/>
      <c r="BI37" s="2"/>
    </row>
    <row r="38" spans="1:61" x14ac:dyDescent="0.25">
      <c r="A38" s="2" t="s">
        <v>215</v>
      </c>
      <c r="B38" s="2">
        <v>80</v>
      </c>
      <c r="C38" s="2">
        <v>10</v>
      </c>
      <c r="D38" s="2"/>
      <c r="E38" s="2">
        <v>10</v>
      </c>
      <c r="F38" s="6">
        <f t="shared" si="0"/>
        <v>100</v>
      </c>
      <c r="G38" s="2"/>
      <c r="H38" s="2">
        <v>80</v>
      </c>
      <c r="I38" s="2">
        <v>10</v>
      </c>
      <c r="J38" s="2">
        <v>5</v>
      </c>
      <c r="K38" s="2">
        <v>5</v>
      </c>
      <c r="L38" s="6">
        <f t="shared" si="1"/>
        <v>100</v>
      </c>
      <c r="U38" s="33"/>
      <c r="V38" s="33"/>
      <c r="W38" s="33"/>
      <c r="X38" s="33"/>
      <c r="Y38" s="33"/>
      <c r="Z38" s="33"/>
      <c r="AG38" s="2" t="s">
        <v>238</v>
      </c>
      <c r="AH38" s="2"/>
      <c r="AI38" s="2"/>
      <c r="AJ38" s="2"/>
      <c r="AK38" s="2">
        <v>100</v>
      </c>
      <c r="AX38" s="6"/>
      <c r="BE38" s="2" t="s">
        <v>238</v>
      </c>
      <c r="BF38" s="2">
        <v>100</v>
      </c>
      <c r="BG38" s="2">
        <v>0</v>
      </c>
      <c r="BH38" s="2">
        <v>0</v>
      </c>
      <c r="BI38" s="2">
        <v>0</v>
      </c>
    </row>
    <row r="39" spans="1:61" x14ac:dyDescent="0.25">
      <c r="A39" s="2" t="s">
        <v>237</v>
      </c>
      <c r="B39" s="2">
        <v>85</v>
      </c>
      <c r="C39" s="2">
        <v>5</v>
      </c>
      <c r="D39" s="2">
        <v>5</v>
      </c>
      <c r="E39" s="2">
        <v>5</v>
      </c>
      <c r="F39" s="6">
        <f t="shared" si="0"/>
        <v>100</v>
      </c>
      <c r="G39" s="2"/>
      <c r="H39" s="2">
        <v>50</v>
      </c>
      <c r="I39" s="2">
        <v>20</v>
      </c>
      <c r="J39" s="2">
        <v>15</v>
      </c>
      <c r="K39" s="2">
        <v>15</v>
      </c>
      <c r="L39" s="6">
        <f t="shared" si="1"/>
        <v>100</v>
      </c>
      <c r="U39" s="39" t="s">
        <v>313</v>
      </c>
      <c r="V39" s="33"/>
      <c r="W39" s="33"/>
      <c r="X39" s="33"/>
      <c r="Y39" s="33"/>
      <c r="Z39" s="33"/>
      <c r="AG39" s="2" t="s">
        <v>238</v>
      </c>
      <c r="AH39" s="2"/>
      <c r="AI39" s="2">
        <v>50</v>
      </c>
      <c r="AJ39" s="2">
        <v>50</v>
      </c>
      <c r="AK39" s="2"/>
      <c r="AX39" s="6"/>
      <c r="BE39" s="2" t="s">
        <v>238</v>
      </c>
      <c r="BF39" s="2">
        <v>100</v>
      </c>
      <c r="BG39" s="2">
        <v>0</v>
      </c>
      <c r="BH39" s="2">
        <v>0</v>
      </c>
      <c r="BI39" s="2">
        <v>0</v>
      </c>
    </row>
    <row r="40" spans="1:61" x14ac:dyDescent="0.25">
      <c r="A40" s="2" t="s">
        <v>238</v>
      </c>
      <c r="B40" s="2">
        <v>85</v>
      </c>
      <c r="C40" s="2">
        <v>15</v>
      </c>
      <c r="D40" s="2"/>
      <c r="E40" s="2"/>
      <c r="F40" s="6">
        <f t="shared" si="0"/>
        <v>100</v>
      </c>
      <c r="G40" s="2"/>
      <c r="H40" s="2">
        <v>45</v>
      </c>
      <c r="I40" s="2">
        <v>15</v>
      </c>
      <c r="J40" s="2">
        <v>20</v>
      </c>
      <c r="K40" s="2">
        <v>20</v>
      </c>
      <c r="L40" s="6">
        <f t="shared" si="1"/>
        <v>100</v>
      </c>
      <c r="U40" s="33"/>
      <c r="V40" s="33" t="s">
        <v>314</v>
      </c>
      <c r="W40" s="33" t="s">
        <v>315</v>
      </c>
      <c r="X40" s="33" t="s">
        <v>316</v>
      </c>
      <c r="Y40" s="33" t="s">
        <v>317</v>
      </c>
      <c r="Z40" s="33"/>
      <c r="AG40" s="2" t="s">
        <v>238</v>
      </c>
      <c r="AH40" s="2"/>
      <c r="AI40" s="2">
        <v>99</v>
      </c>
      <c r="AJ40" s="2"/>
      <c r="AK40" s="2">
        <v>1</v>
      </c>
      <c r="AX40" s="6"/>
      <c r="BE40" s="2" t="s">
        <v>238</v>
      </c>
      <c r="BF40" s="2"/>
      <c r="BG40" s="2">
        <v>80</v>
      </c>
      <c r="BH40" s="2">
        <v>20</v>
      </c>
      <c r="BI40" s="2"/>
    </row>
    <row r="41" spans="1:61" x14ac:dyDescent="0.25">
      <c r="A41" s="2" t="s">
        <v>238</v>
      </c>
      <c r="B41" s="2">
        <v>90</v>
      </c>
      <c r="C41" s="2"/>
      <c r="D41" s="2"/>
      <c r="E41" s="2">
        <v>10</v>
      </c>
      <c r="F41" s="6">
        <f t="shared" si="0"/>
        <v>100</v>
      </c>
      <c r="G41" s="2"/>
      <c r="H41" s="2">
        <v>90</v>
      </c>
      <c r="I41" s="2"/>
      <c r="J41" s="2"/>
      <c r="K41" s="2">
        <v>10</v>
      </c>
      <c r="L41" s="6">
        <f t="shared" si="1"/>
        <v>100</v>
      </c>
      <c r="U41" s="33" t="s">
        <v>319</v>
      </c>
      <c r="V41" s="40">
        <f>1452/25</f>
        <v>58.08</v>
      </c>
      <c r="W41" s="40">
        <f>745/25</f>
        <v>29.8</v>
      </c>
      <c r="X41" s="40">
        <f>109/25</f>
        <v>4.3600000000000003</v>
      </c>
      <c r="Y41" s="40">
        <f>194/25</f>
        <v>7.76</v>
      </c>
      <c r="Z41" s="33"/>
      <c r="AG41" s="3" t="s">
        <v>238</v>
      </c>
      <c r="AH41" s="3"/>
      <c r="AI41" s="3"/>
      <c r="AJ41" s="3"/>
      <c r="AK41" s="3">
        <v>100</v>
      </c>
      <c r="AX41" s="6"/>
      <c r="BE41" s="2" t="s">
        <v>238</v>
      </c>
      <c r="BF41" s="2"/>
      <c r="BG41" s="2">
        <v>100</v>
      </c>
      <c r="BH41" s="2"/>
      <c r="BI41" s="2"/>
    </row>
    <row r="42" spans="1:61" x14ac:dyDescent="0.25">
      <c r="A42" s="2" t="s">
        <v>238</v>
      </c>
      <c r="B42" s="2">
        <v>90</v>
      </c>
      <c r="C42" s="2">
        <v>10</v>
      </c>
      <c r="D42" s="2">
        <v>0</v>
      </c>
      <c r="E42" s="2">
        <v>0</v>
      </c>
      <c r="F42" s="6">
        <f t="shared" si="0"/>
        <v>100</v>
      </c>
      <c r="G42" s="2"/>
      <c r="H42" s="2">
        <v>70</v>
      </c>
      <c r="I42" s="2">
        <v>20</v>
      </c>
      <c r="J42" s="2">
        <v>0</v>
      </c>
      <c r="K42" s="2">
        <v>10</v>
      </c>
      <c r="L42" s="6">
        <f t="shared" si="1"/>
        <v>100</v>
      </c>
      <c r="U42" s="33" t="s">
        <v>274</v>
      </c>
      <c r="V42" s="40">
        <f>295/5</f>
        <v>59</v>
      </c>
      <c r="W42" s="40">
        <f>105/5</f>
        <v>21</v>
      </c>
      <c r="X42" s="40">
        <f>95/5</f>
        <v>19</v>
      </c>
      <c r="Y42" s="40">
        <f>5/5</f>
        <v>1</v>
      </c>
      <c r="Z42" s="33"/>
      <c r="AG42" s="2"/>
      <c r="AH42" s="2"/>
      <c r="AI42" s="2"/>
      <c r="AJ42" s="2"/>
      <c r="AK42" s="2"/>
      <c r="AX42" s="6"/>
      <c r="BE42" s="2" t="s">
        <v>238</v>
      </c>
      <c r="BF42" s="2"/>
      <c r="BG42" s="2"/>
      <c r="BH42" s="2"/>
      <c r="BI42" s="2">
        <v>100</v>
      </c>
    </row>
    <row r="43" spans="1:61" x14ac:dyDescent="0.25">
      <c r="A43" s="2" t="s">
        <v>236</v>
      </c>
      <c r="B43" s="2">
        <v>95</v>
      </c>
      <c r="C43" s="2"/>
      <c r="D43" s="2">
        <v>2</v>
      </c>
      <c r="E43" s="2">
        <v>3</v>
      </c>
      <c r="F43" s="6">
        <f t="shared" si="0"/>
        <v>100</v>
      </c>
      <c r="G43" s="2"/>
      <c r="H43" s="2">
        <v>20</v>
      </c>
      <c r="I43" s="2">
        <v>45</v>
      </c>
      <c r="J43" s="2">
        <v>5</v>
      </c>
      <c r="K43" s="2">
        <v>30</v>
      </c>
      <c r="L43" s="6">
        <f t="shared" si="1"/>
        <v>100</v>
      </c>
      <c r="U43" s="33" t="s">
        <v>320</v>
      </c>
      <c r="V43" s="40">
        <f>1508/35</f>
        <v>43.085714285714289</v>
      </c>
      <c r="W43" s="40">
        <f>889/35</f>
        <v>25.4</v>
      </c>
      <c r="X43" s="40">
        <f>305/35</f>
        <v>8.7142857142857135</v>
      </c>
      <c r="Y43" s="40">
        <f>798/35</f>
        <v>22.8</v>
      </c>
      <c r="Z43" s="33"/>
      <c r="AG43" s="2"/>
      <c r="AH43" s="2">
        <f>SUM(AH7:AH42)</f>
        <v>1508</v>
      </c>
      <c r="AI43" s="2">
        <f>SUM(AI7:AI42)</f>
        <v>889</v>
      </c>
      <c r="AJ43" s="2">
        <f>SUM(AJ7:AJ42)</f>
        <v>305</v>
      </c>
      <c r="AK43" s="2">
        <f>SUM(AK7:AK42)</f>
        <v>798</v>
      </c>
      <c r="AX43" s="6"/>
      <c r="BE43" s="2" t="s">
        <v>238</v>
      </c>
      <c r="BF43" s="2"/>
      <c r="BG43" s="2">
        <v>95</v>
      </c>
      <c r="BH43" s="2">
        <v>5</v>
      </c>
      <c r="BI43" s="2"/>
    </row>
    <row r="44" spans="1:61" x14ac:dyDescent="0.25">
      <c r="A44" s="2" t="s">
        <v>238</v>
      </c>
      <c r="B44" s="2">
        <v>95</v>
      </c>
      <c r="C44" s="2">
        <v>0</v>
      </c>
      <c r="D44" s="2">
        <v>0</v>
      </c>
      <c r="E44" s="2">
        <v>5</v>
      </c>
      <c r="F44" s="6">
        <f t="shared" si="0"/>
        <v>100</v>
      </c>
      <c r="G44" s="2"/>
      <c r="H44" s="2">
        <v>40</v>
      </c>
      <c r="I44" s="2">
        <v>40</v>
      </c>
      <c r="J44" s="2">
        <v>15</v>
      </c>
      <c r="K44" s="2">
        <v>5</v>
      </c>
      <c r="L44" s="6">
        <f t="shared" si="1"/>
        <v>100</v>
      </c>
      <c r="U44" s="33" t="s">
        <v>321</v>
      </c>
      <c r="V44" s="40">
        <f>210/6</f>
        <v>35</v>
      </c>
      <c r="W44" s="40">
        <f>250/6</f>
        <v>41.666666666666664</v>
      </c>
      <c r="X44" s="40">
        <f>23/6</f>
        <v>3.8333333333333335</v>
      </c>
      <c r="Y44" s="40">
        <f>117/6</f>
        <v>19.5</v>
      </c>
      <c r="Z44" s="33"/>
      <c r="AG44" s="2"/>
      <c r="AH44" s="2"/>
      <c r="AI44" s="2"/>
      <c r="AJ44" s="2"/>
      <c r="AK44" s="2"/>
      <c r="AX44" s="6"/>
      <c r="BE44" s="2" t="s">
        <v>238</v>
      </c>
      <c r="BF44" s="2"/>
      <c r="BG44" s="2">
        <v>80</v>
      </c>
      <c r="BH44" s="2">
        <v>20</v>
      </c>
      <c r="BI44" s="2"/>
    </row>
    <row r="45" spans="1:61" x14ac:dyDescent="0.25">
      <c r="A45" s="2" t="s">
        <v>236</v>
      </c>
      <c r="B45" s="2">
        <v>98</v>
      </c>
      <c r="C45" s="2">
        <v>0</v>
      </c>
      <c r="D45" s="2">
        <v>1</v>
      </c>
      <c r="E45" s="2">
        <v>1</v>
      </c>
      <c r="F45" s="6">
        <f t="shared" si="0"/>
        <v>100</v>
      </c>
      <c r="G45" s="2"/>
      <c r="H45" s="2">
        <v>10</v>
      </c>
      <c r="I45" s="2">
        <v>30</v>
      </c>
      <c r="J45" s="2">
        <v>20</v>
      </c>
      <c r="K45" s="2">
        <v>40</v>
      </c>
      <c r="L45" s="6">
        <f t="shared" si="1"/>
        <v>100</v>
      </c>
      <c r="U45" s="78" t="s">
        <v>590</v>
      </c>
      <c r="V45" s="33">
        <v>48.8</v>
      </c>
      <c r="W45" s="33">
        <v>28</v>
      </c>
      <c r="X45" s="33">
        <v>7.5</v>
      </c>
      <c r="Y45" s="33">
        <v>15.7</v>
      </c>
      <c r="Z45" s="33"/>
      <c r="AG45" s="2"/>
      <c r="AH45" s="2"/>
      <c r="AI45" s="2"/>
      <c r="AJ45" s="2"/>
      <c r="AK45" s="2"/>
      <c r="AX45" s="6"/>
      <c r="BE45" s="3" t="s">
        <v>238</v>
      </c>
      <c r="BF45" s="3"/>
      <c r="BG45" s="3"/>
      <c r="BH45" s="3"/>
      <c r="BI45" s="3">
        <v>100</v>
      </c>
    </row>
    <row r="46" spans="1:61" x14ac:dyDescent="0.25">
      <c r="A46" s="2" t="s">
        <v>236</v>
      </c>
      <c r="B46" s="2">
        <v>99</v>
      </c>
      <c r="C46" s="2">
        <v>0</v>
      </c>
      <c r="D46" s="2">
        <v>1</v>
      </c>
      <c r="E46" s="2">
        <v>0</v>
      </c>
      <c r="F46" s="6">
        <f t="shared" si="0"/>
        <v>100</v>
      </c>
      <c r="G46" s="2"/>
      <c r="H46" s="2">
        <v>40</v>
      </c>
      <c r="I46" s="2">
        <v>25</v>
      </c>
      <c r="J46" s="2">
        <v>30</v>
      </c>
      <c r="K46" s="2">
        <v>5</v>
      </c>
      <c r="L46" s="6">
        <f t="shared" si="1"/>
        <v>100</v>
      </c>
      <c r="AG46" s="2"/>
      <c r="AH46" s="2"/>
      <c r="AI46" s="2"/>
      <c r="AJ46" s="2"/>
      <c r="AK46" s="2"/>
      <c r="AX46" s="6"/>
      <c r="BE46" s="2" t="s">
        <v>238</v>
      </c>
      <c r="BF46" s="2"/>
      <c r="BG46" s="2">
        <v>100</v>
      </c>
      <c r="BH46" s="2"/>
      <c r="BI46" s="2"/>
    </row>
    <row r="47" spans="1:61" x14ac:dyDescent="0.25">
      <c r="A47" s="2" t="s">
        <v>236</v>
      </c>
      <c r="B47" s="2">
        <v>100</v>
      </c>
      <c r="C47" s="2"/>
      <c r="D47" s="2"/>
      <c r="E47" s="2"/>
      <c r="F47" s="6">
        <f t="shared" si="0"/>
        <v>100</v>
      </c>
      <c r="G47" s="2"/>
      <c r="H47" s="2">
        <v>100</v>
      </c>
      <c r="I47" s="2"/>
      <c r="J47" s="2"/>
      <c r="K47" s="2"/>
      <c r="L47" s="6">
        <f t="shared" si="1"/>
        <v>100</v>
      </c>
      <c r="U47" s="39" t="s">
        <v>591</v>
      </c>
      <c r="V47" s="33"/>
      <c r="W47" s="33"/>
      <c r="X47" s="33"/>
      <c r="Y47" s="33"/>
      <c r="AG47" s="2"/>
      <c r="AH47" s="2"/>
      <c r="AI47" s="2"/>
      <c r="AJ47" s="2"/>
      <c r="AK47" s="2"/>
      <c r="AX47" s="6"/>
      <c r="BE47" s="2" t="s">
        <v>238</v>
      </c>
      <c r="BF47" s="2"/>
      <c r="BG47" s="2">
        <v>80</v>
      </c>
      <c r="BH47" s="2">
        <v>5</v>
      </c>
      <c r="BI47" s="2">
        <v>15</v>
      </c>
    </row>
    <row r="48" spans="1:61" x14ac:dyDescent="0.25">
      <c r="A48" s="2" t="s">
        <v>236</v>
      </c>
      <c r="B48" s="2">
        <v>100</v>
      </c>
      <c r="C48" s="2"/>
      <c r="D48" s="2"/>
      <c r="E48" s="2"/>
      <c r="F48" s="6">
        <f t="shared" si="0"/>
        <v>100</v>
      </c>
      <c r="G48" s="2"/>
      <c r="H48" s="2">
        <v>90</v>
      </c>
      <c r="I48" s="2">
        <v>5</v>
      </c>
      <c r="J48" s="2">
        <v>1</v>
      </c>
      <c r="K48" s="2">
        <v>4</v>
      </c>
      <c r="L48" s="6">
        <f t="shared" si="1"/>
        <v>100</v>
      </c>
      <c r="U48" s="33"/>
      <c r="V48" s="33" t="s">
        <v>314</v>
      </c>
      <c r="W48" s="33" t="s">
        <v>315</v>
      </c>
      <c r="X48" s="33" t="s">
        <v>316</v>
      </c>
      <c r="Y48" s="33" t="s">
        <v>317</v>
      </c>
      <c r="AX48" s="6"/>
    </row>
    <row r="49" spans="1:61" x14ac:dyDescent="0.25">
      <c r="A49" s="2" t="s">
        <v>236</v>
      </c>
      <c r="B49" s="3">
        <v>100</v>
      </c>
      <c r="C49" s="3">
        <v>0</v>
      </c>
      <c r="D49" s="3">
        <v>0</v>
      </c>
      <c r="E49" s="3">
        <v>0</v>
      </c>
      <c r="F49" s="6">
        <f t="shared" si="0"/>
        <v>100</v>
      </c>
      <c r="G49" s="3"/>
      <c r="H49" s="3">
        <v>85</v>
      </c>
      <c r="I49" s="3">
        <v>0</v>
      </c>
      <c r="J49" s="3">
        <v>5</v>
      </c>
      <c r="K49" s="3">
        <v>10</v>
      </c>
      <c r="L49" s="6">
        <f t="shared" si="1"/>
        <v>100</v>
      </c>
      <c r="U49" s="33" t="s">
        <v>322</v>
      </c>
      <c r="V49" s="40">
        <f>1149/26</f>
        <v>44.192307692307693</v>
      </c>
      <c r="W49" s="40">
        <f>410/26</f>
        <v>15.76923076923077</v>
      </c>
      <c r="X49" s="40">
        <f>482/26</f>
        <v>18.53846153846154</v>
      </c>
      <c r="Y49" s="40">
        <f>559/26</f>
        <v>21.5</v>
      </c>
      <c r="AX49" s="6"/>
      <c r="BF49">
        <f>SUM(BF7:BF48)</f>
        <v>1448</v>
      </c>
      <c r="BG49" s="19">
        <f>SUM(BG7:BG48)</f>
        <v>1170</v>
      </c>
      <c r="BH49" s="19">
        <f>SUM(BH7:BH48)</f>
        <v>660</v>
      </c>
      <c r="BI49" s="19">
        <f>SUM(BI7:BI48)</f>
        <v>822</v>
      </c>
    </row>
    <row r="50" spans="1:61" x14ac:dyDescent="0.25">
      <c r="A50" s="2" t="s">
        <v>236</v>
      </c>
      <c r="B50" s="2">
        <v>100</v>
      </c>
      <c r="C50" s="2"/>
      <c r="D50" s="2"/>
      <c r="E50" s="2"/>
      <c r="F50" s="6">
        <f t="shared" si="0"/>
        <v>100</v>
      </c>
      <c r="G50" s="2"/>
      <c r="H50" s="2">
        <v>50</v>
      </c>
      <c r="I50" s="2">
        <v>25</v>
      </c>
      <c r="J50" s="2">
        <v>20</v>
      </c>
      <c r="K50" s="2">
        <v>5</v>
      </c>
      <c r="L50" s="6">
        <f t="shared" si="1"/>
        <v>100</v>
      </c>
      <c r="U50" s="33" t="s">
        <v>274</v>
      </c>
      <c r="V50" s="40">
        <f>102/5</f>
        <v>20.399999999999999</v>
      </c>
      <c r="W50" s="40">
        <f>66/5</f>
        <v>13.2</v>
      </c>
      <c r="X50" s="40">
        <f>207/5</f>
        <v>41.4</v>
      </c>
      <c r="Y50" s="40">
        <f>125/5</f>
        <v>25</v>
      </c>
      <c r="AX50" s="6"/>
    </row>
    <row r="51" spans="1:61" x14ac:dyDescent="0.25">
      <c r="A51" s="2" t="s">
        <v>236</v>
      </c>
      <c r="B51" s="2">
        <v>100</v>
      </c>
      <c r="C51" s="2"/>
      <c r="D51" s="2"/>
      <c r="E51" s="2"/>
      <c r="F51" s="6">
        <f t="shared" si="0"/>
        <v>100</v>
      </c>
      <c r="G51" s="2"/>
      <c r="H51" s="2">
        <v>80</v>
      </c>
      <c r="I51" s="2"/>
      <c r="J51" s="2">
        <v>20</v>
      </c>
      <c r="K51" s="2"/>
      <c r="L51" s="6">
        <f t="shared" si="1"/>
        <v>100</v>
      </c>
      <c r="U51" s="33" t="s">
        <v>323</v>
      </c>
      <c r="V51" s="40">
        <f>1448/41</f>
        <v>35.31707317073171</v>
      </c>
      <c r="W51" s="40">
        <f>1170/41</f>
        <v>28.536585365853657</v>
      </c>
      <c r="X51" s="40">
        <f>660/41</f>
        <v>16.097560975609756</v>
      </c>
      <c r="Y51" s="40">
        <f>822/41</f>
        <v>20.048780487804876</v>
      </c>
      <c r="AX51" s="6"/>
    </row>
    <row r="52" spans="1:61" x14ac:dyDescent="0.25">
      <c r="A52" s="2" t="s">
        <v>236</v>
      </c>
      <c r="B52" s="2">
        <v>100</v>
      </c>
      <c r="C52" s="2"/>
      <c r="D52" s="2"/>
      <c r="E52" s="2"/>
      <c r="F52" s="6">
        <f t="shared" si="0"/>
        <v>100</v>
      </c>
      <c r="G52" s="2"/>
      <c r="H52" s="2">
        <v>70</v>
      </c>
      <c r="I52" s="2">
        <v>10</v>
      </c>
      <c r="J52" s="2">
        <v>10</v>
      </c>
      <c r="K52" s="2">
        <v>10</v>
      </c>
      <c r="L52" s="6">
        <f t="shared" si="1"/>
        <v>100</v>
      </c>
      <c r="U52" s="33" t="s">
        <v>324</v>
      </c>
      <c r="V52" s="40">
        <f>136/7</f>
        <v>19.428571428571427</v>
      </c>
      <c r="W52" s="40">
        <f>216/7</f>
        <v>30.857142857142858</v>
      </c>
      <c r="X52" s="40">
        <f>182/7</f>
        <v>26</v>
      </c>
      <c r="Y52" s="40">
        <f>166/7</f>
        <v>23.714285714285715</v>
      </c>
      <c r="AX52" s="6"/>
    </row>
    <row r="53" spans="1:61" x14ac:dyDescent="0.25">
      <c r="A53" s="2" t="s">
        <v>236</v>
      </c>
      <c r="B53" s="2">
        <v>100</v>
      </c>
      <c r="C53" s="2"/>
      <c r="D53" s="2"/>
      <c r="E53" s="2"/>
      <c r="F53" s="6">
        <f t="shared" si="0"/>
        <v>100</v>
      </c>
      <c r="G53" s="2"/>
      <c r="H53" s="2">
        <v>80</v>
      </c>
      <c r="I53" s="2">
        <v>10</v>
      </c>
      <c r="J53" s="2">
        <v>5</v>
      </c>
      <c r="K53" s="2">
        <v>5</v>
      </c>
      <c r="L53" s="6">
        <f t="shared" si="1"/>
        <v>100</v>
      </c>
      <c r="U53" s="78" t="s">
        <v>589</v>
      </c>
      <c r="V53">
        <v>35.9</v>
      </c>
      <c r="W53">
        <v>23.6</v>
      </c>
      <c r="X53">
        <v>19.399999999999999</v>
      </c>
      <c r="Y53">
        <v>21.2</v>
      </c>
      <c r="AX53" s="6"/>
    </row>
    <row r="54" spans="1:61" x14ac:dyDescent="0.25">
      <c r="A54" s="2" t="s">
        <v>236</v>
      </c>
      <c r="B54" s="2">
        <v>100</v>
      </c>
      <c r="C54" s="2"/>
      <c r="D54" s="2"/>
      <c r="E54" s="2"/>
      <c r="F54" s="6">
        <f t="shared" si="0"/>
        <v>100</v>
      </c>
      <c r="G54" s="2"/>
      <c r="H54" s="2">
        <v>95</v>
      </c>
      <c r="I54" s="2"/>
      <c r="J54" s="2">
        <v>3</v>
      </c>
      <c r="K54" s="2">
        <v>2</v>
      </c>
      <c r="L54" s="6">
        <f t="shared" si="1"/>
        <v>100</v>
      </c>
      <c r="AX54" s="6"/>
    </row>
    <row r="55" spans="1:61" x14ac:dyDescent="0.25">
      <c r="A55" s="2" t="s">
        <v>237</v>
      </c>
      <c r="B55" s="2">
        <v>100</v>
      </c>
      <c r="C55" s="2"/>
      <c r="D55" s="2"/>
      <c r="E55" s="2"/>
      <c r="F55" s="6">
        <f t="shared" si="0"/>
        <v>100</v>
      </c>
      <c r="G55" s="2"/>
      <c r="H55" s="2">
        <v>10</v>
      </c>
      <c r="I55" s="2">
        <v>20</v>
      </c>
      <c r="J55" s="2">
        <v>70</v>
      </c>
      <c r="K55" s="2"/>
      <c r="L55" s="6">
        <f t="shared" si="1"/>
        <v>100</v>
      </c>
      <c r="AX55" s="6"/>
    </row>
    <row r="56" spans="1:61" x14ac:dyDescent="0.25">
      <c r="A56" s="2" t="s">
        <v>237</v>
      </c>
      <c r="B56" s="2">
        <v>100</v>
      </c>
      <c r="C56" s="2"/>
      <c r="D56" s="2"/>
      <c r="E56" s="2"/>
      <c r="F56" s="6">
        <f t="shared" si="0"/>
        <v>100</v>
      </c>
      <c r="G56" s="2"/>
      <c r="H56" s="2">
        <v>25</v>
      </c>
      <c r="I56" s="2">
        <v>25</v>
      </c>
      <c r="J56" s="2">
        <v>25</v>
      </c>
      <c r="K56" s="2">
        <v>25</v>
      </c>
      <c r="L56" s="6">
        <f t="shared" si="1"/>
        <v>100</v>
      </c>
      <c r="AX56" s="6"/>
    </row>
    <row r="57" spans="1:61" x14ac:dyDescent="0.25">
      <c r="A57" s="2" t="s">
        <v>238</v>
      </c>
      <c r="B57" s="2">
        <v>100</v>
      </c>
      <c r="C57" s="2"/>
      <c r="D57" s="2"/>
      <c r="E57" s="2"/>
      <c r="F57" s="6">
        <f t="shared" si="0"/>
        <v>100</v>
      </c>
      <c r="G57" s="2"/>
      <c r="H57" s="2">
        <v>100</v>
      </c>
      <c r="I57" s="2"/>
      <c r="J57" s="2"/>
      <c r="K57" s="2"/>
      <c r="L57" s="6">
        <f t="shared" si="1"/>
        <v>100</v>
      </c>
      <c r="AX57" s="6"/>
    </row>
    <row r="58" spans="1:61" x14ac:dyDescent="0.25">
      <c r="A58" s="2" t="s">
        <v>238</v>
      </c>
      <c r="B58" s="2">
        <v>100</v>
      </c>
      <c r="C58" s="2">
        <v>0</v>
      </c>
      <c r="D58" s="2">
        <v>0</v>
      </c>
      <c r="E58" s="2">
        <v>0</v>
      </c>
      <c r="F58" s="6">
        <f t="shared" si="0"/>
        <v>100</v>
      </c>
      <c r="G58" s="2"/>
      <c r="H58" s="2">
        <v>100</v>
      </c>
      <c r="I58" s="2">
        <v>0</v>
      </c>
      <c r="J58" s="2">
        <v>0</v>
      </c>
      <c r="K58" s="2">
        <v>0</v>
      </c>
      <c r="L58" s="6">
        <f t="shared" si="1"/>
        <v>100</v>
      </c>
      <c r="AX58" s="6"/>
    </row>
    <row r="59" spans="1:61" x14ac:dyDescent="0.25">
      <c r="A59" s="2" t="s">
        <v>238</v>
      </c>
      <c r="B59" s="2">
        <v>100</v>
      </c>
      <c r="C59" s="2"/>
      <c r="D59" s="2"/>
      <c r="E59" s="2"/>
      <c r="F59" s="6">
        <f t="shared" si="0"/>
        <v>100</v>
      </c>
      <c r="G59" s="2"/>
      <c r="H59" s="2">
        <v>20</v>
      </c>
      <c r="I59" s="2">
        <v>70</v>
      </c>
      <c r="J59" s="2">
        <v>10</v>
      </c>
      <c r="K59" s="2"/>
      <c r="L59" s="6">
        <f t="shared" si="1"/>
        <v>100</v>
      </c>
      <c r="AX59" s="6"/>
    </row>
    <row r="60" spans="1:61" x14ac:dyDescent="0.25">
      <c r="A60" s="2" t="s">
        <v>238</v>
      </c>
      <c r="B60" s="2">
        <v>100</v>
      </c>
      <c r="C60" s="2">
        <v>0</v>
      </c>
      <c r="D60" s="2">
        <v>0</v>
      </c>
      <c r="E60" s="2">
        <v>0</v>
      </c>
      <c r="F60" s="6">
        <f t="shared" si="0"/>
        <v>100</v>
      </c>
      <c r="G60" s="2"/>
      <c r="H60" s="2">
        <v>100</v>
      </c>
      <c r="I60" s="2">
        <v>0</v>
      </c>
      <c r="J60" s="2">
        <v>0</v>
      </c>
      <c r="K60" s="2">
        <v>0</v>
      </c>
      <c r="L60" s="6">
        <f t="shared" si="1"/>
        <v>100</v>
      </c>
      <c r="AX60" s="6"/>
    </row>
    <row r="61" spans="1:61" x14ac:dyDescent="0.25">
      <c r="A61" s="2" t="s">
        <v>238</v>
      </c>
      <c r="B61" s="2">
        <v>100</v>
      </c>
      <c r="C61" s="2"/>
      <c r="D61" s="2"/>
      <c r="E61" s="2"/>
      <c r="F61" s="6">
        <f t="shared" si="0"/>
        <v>100</v>
      </c>
      <c r="G61" s="2"/>
      <c r="H61" s="2">
        <v>30</v>
      </c>
      <c r="I61" s="2">
        <v>5</v>
      </c>
      <c r="J61" s="2">
        <v>40</v>
      </c>
      <c r="K61" s="2">
        <v>25</v>
      </c>
      <c r="L61" s="6">
        <f t="shared" si="1"/>
        <v>100</v>
      </c>
      <c r="AX61" s="6"/>
    </row>
    <row r="62" spans="1:61" x14ac:dyDescent="0.25">
      <c r="A62" s="2" t="s">
        <v>238</v>
      </c>
      <c r="B62" s="2">
        <v>100</v>
      </c>
      <c r="C62" s="2"/>
      <c r="D62" s="2"/>
      <c r="E62" s="2"/>
      <c r="F62" s="6">
        <f t="shared" si="0"/>
        <v>100</v>
      </c>
      <c r="G62" s="2"/>
      <c r="H62" s="2">
        <v>75</v>
      </c>
      <c r="I62" s="2"/>
      <c r="J62" s="2">
        <v>20</v>
      </c>
      <c r="K62" s="2">
        <v>5</v>
      </c>
      <c r="L62" s="6">
        <f t="shared" si="1"/>
        <v>100</v>
      </c>
      <c r="AX62" s="6"/>
    </row>
    <row r="63" spans="1:61" x14ac:dyDescent="0.25">
      <c r="A63" s="2" t="s">
        <v>238</v>
      </c>
      <c r="B63" s="2">
        <v>100</v>
      </c>
      <c r="C63" s="2"/>
      <c r="D63" s="2"/>
      <c r="E63" s="2"/>
      <c r="F63" s="6">
        <f t="shared" si="0"/>
        <v>100</v>
      </c>
      <c r="G63" s="2"/>
      <c r="H63" s="2">
        <v>75</v>
      </c>
      <c r="I63" s="2">
        <v>10</v>
      </c>
      <c r="J63" s="2">
        <v>5</v>
      </c>
      <c r="K63" s="2">
        <v>10</v>
      </c>
      <c r="L63" s="6">
        <f t="shared" si="1"/>
        <v>100</v>
      </c>
      <c r="AX63" s="6"/>
    </row>
    <row r="64" spans="1:61" x14ac:dyDescent="0.25">
      <c r="A64" s="2" t="s">
        <v>215</v>
      </c>
      <c r="B64" s="2">
        <v>100</v>
      </c>
      <c r="C64" s="2"/>
      <c r="D64" s="2"/>
      <c r="E64" s="2"/>
      <c r="F64" s="6">
        <f t="shared" si="0"/>
        <v>100</v>
      </c>
      <c r="G64" s="2"/>
      <c r="H64" s="2">
        <v>6</v>
      </c>
      <c r="I64" s="2">
        <v>6</v>
      </c>
      <c r="J64" s="2">
        <v>58</v>
      </c>
      <c r="K64" s="2">
        <v>30</v>
      </c>
      <c r="L64" s="6">
        <f t="shared" si="1"/>
        <v>100</v>
      </c>
      <c r="AX64" s="6"/>
    </row>
    <row r="65" spans="1:50" x14ac:dyDescent="0.25">
      <c r="A65" s="2" t="s">
        <v>236</v>
      </c>
      <c r="B65" s="2"/>
      <c r="C65" s="2">
        <v>90</v>
      </c>
      <c r="D65" s="2">
        <v>5</v>
      </c>
      <c r="E65" s="2">
        <v>5</v>
      </c>
      <c r="F65" s="6">
        <f t="shared" si="0"/>
        <v>100</v>
      </c>
      <c r="G65" s="2"/>
      <c r="H65" s="2">
        <v>5</v>
      </c>
      <c r="I65" s="2">
        <v>10</v>
      </c>
      <c r="J65" s="2">
        <v>10</v>
      </c>
      <c r="K65" s="2">
        <v>75</v>
      </c>
      <c r="L65" s="6">
        <f t="shared" si="1"/>
        <v>100</v>
      </c>
      <c r="AX65" s="6"/>
    </row>
    <row r="66" spans="1:50" x14ac:dyDescent="0.25">
      <c r="A66" s="2" t="s">
        <v>236</v>
      </c>
      <c r="B66" s="2"/>
      <c r="C66" s="2">
        <v>100</v>
      </c>
      <c r="D66" s="2"/>
      <c r="E66" s="2"/>
      <c r="F66" s="6">
        <f t="shared" si="0"/>
        <v>100</v>
      </c>
      <c r="G66" s="2"/>
      <c r="H66" s="2">
        <v>2</v>
      </c>
      <c r="I66" s="2">
        <v>5</v>
      </c>
      <c r="J66" s="2">
        <v>78</v>
      </c>
      <c r="K66" s="2">
        <v>15</v>
      </c>
      <c r="L66" s="6">
        <f t="shared" si="1"/>
        <v>100</v>
      </c>
      <c r="AX66" s="6"/>
    </row>
    <row r="67" spans="1:50" x14ac:dyDescent="0.25">
      <c r="A67" s="2" t="s">
        <v>236</v>
      </c>
      <c r="B67" s="2"/>
      <c r="C67" s="2">
        <v>100</v>
      </c>
      <c r="D67" s="2"/>
      <c r="E67" s="2"/>
      <c r="F67" s="6">
        <f t="shared" si="0"/>
        <v>100</v>
      </c>
      <c r="G67" s="2"/>
      <c r="H67" s="2">
        <v>10</v>
      </c>
      <c r="I67" s="2">
        <v>5</v>
      </c>
      <c r="J67" s="2">
        <v>50</v>
      </c>
      <c r="K67" s="2">
        <v>35</v>
      </c>
      <c r="L67" s="6">
        <f t="shared" si="1"/>
        <v>100</v>
      </c>
      <c r="AX67" s="6"/>
    </row>
    <row r="68" spans="1:50" x14ac:dyDescent="0.25">
      <c r="A68" s="2" t="s">
        <v>238</v>
      </c>
      <c r="B68" s="2"/>
      <c r="C68" s="2">
        <v>100</v>
      </c>
      <c r="D68" s="2"/>
      <c r="E68" s="2"/>
      <c r="F68" s="6">
        <f t="shared" si="0"/>
        <v>100</v>
      </c>
      <c r="G68" s="2"/>
      <c r="H68" s="2"/>
      <c r="I68" s="2">
        <v>80</v>
      </c>
      <c r="J68" s="2">
        <v>20</v>
      </c>
      <c r="K68" s="2"/>
      <c r="L68" s="6">
        <f t="shared" si="1"/>
        <v>100</v>
      </c>
      <c r="AX68" s="6"/>
    </row>
    <row r="69" spans="1:50" x14ac:dyDescent="0.25">
      <c r="A69" s="2" t="s">
        <v>238</v>
      </c>
      <c r="B69" s="2"/>
      <c r="C69" s="2">
        <v>100</v>
      </c>
      <c r="D69" s="2"/>
      <c r="E69" s="2"/>
      <c r="F69" s="6">
        <f t="shared" si="0"/>
        <v>100</v>
      </c>
      <c r="G69" s="2"/>
      <c r="H69" s="2"/>
      <c r="I69" s="2">
        <v>100</v>
      </c>
      <c r="J69" s="2"/>
      <c r="K69" s="2"/>
      <c r="L69" s="6">
        <f t="shared" si="1"/>
        <v>100</v>
      </c>
      <c r="AX69" s="6"/>
    </row>
    <row r="70" spans="1:50" x14ac:dyDescent="0.25">
      <c r="A70" s="2" t="s">
        <v>238</v>
      </c>
      <c r="B70" s="2"/>
      <c r="C70" s="2"/>
      <c r="D70" s="2"/>
      <c r="E70" s="2">
        <v>100</v>
      </c>
      <c r="F70" s="6">
        <f t="shared" ref="F70:F76" si="2">SUM(B70:E70)</f>
        <v>100</v>
      </c>
      <c r="G70" s="2"/>
      <c r="H70" s="2"/>
      <c r="I70" s="2"/>
      <c r="J70" s="2"/>
      <c r="K70" s="2">
        <v>100</v>
      </c>
      <c r="L70" s="6">
        <f t="shared" ref="L70:L76" si="3">SUM(H70:K70)</f>
        <v>100</v>
      </c>
      <c r="AX70" s="6"/>
    </row>
    <row r="71" spans="1:50" x14ac:dyDescent="0.25">
      <c r="A71" s="2" t="s">
        <v>238</v>
      </c>
      <c r="B71" s="2"/>
      <c r="C71" s="2">
        <v>100</v>
      </c>
      <c r="D71" s="2"/>
      <c r="E71" s="2"/>
      <c r="F71" s="6">
        <f t="shared" si="2"/>
        <v>100</v>
      </c>
      <c r="G71" s="2"/>
      <c r="H71" s="2"/>
      <c r="I71" s="2">
        <v>95</v>
      </c>
      <c r="J71" s="2">
        <v>5</v>
      </c>
      <c r="K71" s="2"/>
      <c r="L71" s="6">
        <f t="shared" si="3"/>
        <v>100</v>
      </c>
      <c r="AX71" s="6"/>
    </row>
    <row r="72" spans="1:50" x14ac:dyDescent="0.25">
      <c r="A72" s="2" t="s">
        <v>238</v>
      </c>
      <c r="B72" s="2"/>
      <c r="C72" s="2"/>
      <c r="D72" s="2"/>
      <c r="E72" s="2">
        <v>100</v>
      </c>
      <c r="F72" s="6">
        <f t="shared" si="2"/>
        <v>100</v>
      </c>
      <c r="G72" s="2"/>
      <c r="H72" s="2">
        <v>95</v>
      </c>
      <c r="I72" s="2"/>
      <c r="J72" s="2"/>
      <c r="K72" s="2">
        <v>5</v>
      </c>
      <c r="L72" s="6">
        <f t="shared" si="3"/>
        <v>100</v>
      </c>
      <c r="AX72" s="6"/>
    </row>
    <row r="73" spans="1:50" x14ac:dyDescent="0.25">
      <c r="A73" s="2" t="s">
        <v>238</v>
      </c>
      <c r="B73" s="2"/>
      <c r="C73" s="2">
        <v>50</v>
      </c>
      <c r="D73" s="2">
        <v>50</v>
      </c>
      <c r="E73" s="2"/>
      <c r="F73" s="6">
        <f t="shared" si="2"/>
        <v>100</v>
      </c>
      <c r="G73" s="2"/>
      <c r="H73" s="2"/>
      <c r="I73" s="2">
        <v>80</v>
      </c>
      <c r="J73" s="2">
        <v>20</v>
      </c>
      <c r="K73" s="2"/>
      <c r="L73" s="6">
        <f t="shared" si="3"/>
        <v>100</v>
      </c>
      <c r="AX73" s="6"/>
    </row>
    <row r="74" spans="1:50" x14ac:dyDescent="0.25">
      <c r="A74" s="2" t="s">
        <v>238</v>
      </c>
      <c r="B74" s="2"/>
      <c r="C74" s="2">
        <v>99</v>
      </c>
      <c r="D74" s="2"/>
      <c r="E74" s="2">
        <v>1</v>
      </c>
      <c r="F74" s="6">
        <f t="shared" si="2"/>
        <v>100</v>
      </c>
      <c r="G74" s="2"/>
      <c r="H74" s="2">
        <v>50</v>
      </c>
      <c r="I74" s="2"/>
      <c r="J74" s="2">
        <v>45</v>
      </c>
      <c r="K74" s="2">
        <v>5</v>
      </c>
      <c r="L74" s="6">
        <f t="shared" si="3"/>
        <v>100</v>
      </c>
      <c r="AX74" s="6"/>
    </row>
    <row r="75" spans="1:50" x14ac:dyDescent="0.25">
      <c r="A75" s="3" t="s">
        <v>238</v>
      </c>
      <c r="B75" s="3"/>
      <c r="C75" s="3"/>
      <c r="D75" s="3"/>
      <c r="E75" s="3">
        <v>100</v>
      </c>
      <c r="F75" s="6">
        <f t="shared" si="2"/>
        <v>100</v>
      </c>
      <c r="G75" s="3"/>
      <c r="H75" s="3"/>
      <c r="I75" s="3"/>
      <c r="J75" s="3"/>
      <c r="K75" s="3">
        <v>100</v>
      </c>
      <c r="L75" s="6">
        <f t="shared" si="3"/>
        <v>100</v>
      </c>
      <c r="AX75" s="6"/>
    </row>
    <row r="76" spans="1:50" x14ac:dyDescent="0.25">
      <c r="A76" s="2" t="s">
        <v>215</v>
      </c>
      <c r="B76" s="2"/>
      <c r="C76" s="2"/>
      <c r="D76" s="2"/>
      <c r="E76" s="2">
        <v>100</v>
      </c>
      <c r="F76" s="6">
        <f t="shared" si="2"/>
        <v>100</v>
      </c>
      <c r="G76" s="2"/>
      <c r="H76" s="2">
        <v>15</v>
      </c>
      <c r="I76" s="2">
        <v>15</v>
      </c>
      <c r="J76" s="2">
        <v>10</v>
      </c>
      <c r="K76" s="2">
        <v>60</v>
      </c>
      <c r="L76" s="6">
        <f t="shared" si="3"/>
        <v>100</v>
      </c>
      <c r="AX76" s="6"/>
    </row>
    <row r="77" spans="1:50" x14ac:dyDescent="0.25">
      <c r="A77" s="2" t="s">
        <v>236</v>
      </c>
      <c r="B77" s="2"/>
      <c r="C77" s="2"/>
      <c r="D77" s="2"/>
      <c r="E77" s="2"/>
      <c r="F77" s="6">
        <f t="shared" ref="F77:F84" si="4">SUM(B77:E77)</f>
        <v>0</v>
      </c>
      <c r="G77" s="2"/>
      <c r="H77" s="2">
        <v>2</v>
      </c>
      <c r="I77" s="2">
        <v>25</v>
      </c>
      <c r="J77" s="2">
        <v>40</v>
      </c>
      <c r="K77" s="2">
        <v>33</v>
      </c>
      <c r="L77" s="6">
        <f t="shared" ref="L77:L84" si="5">SUM(H77:K77)</f>
        <v>100</v>
      </c>
      <c r="AX77" s="6"/>
    </row>
    <row r="78" spans="1:50" x14ac:dyDescent="0.25">
      <c r="A78" s="2" t="s">
        <v>238</v>
      </c>
      <c r="B78" s="2"/>
      <c r="C78" s="2"/>
      <c r="D78" s="2"/>
      <c r="E78" s="2"/>
      <c r="F78" s="6">
        <f t="shared" si="4"/>
        <v>0</v>
      </c>
      <c r="G78" s="2"/>
      <c r="H78" s="2">
        <v>80</v>
      </c>
      <c r="I78" s="2">
        <v>10</v>
      </c>
      <c r="J78" s="2">
        <v>10</v>
      </c>
      <c r="K78" s="2"/>
      <c r="L78" s="6">
        <f t="shared" si="5"/>
        <v>100</v>
      </c>
      <c r="AX78" s="6"/>
    </row>
    <row r="79" spans="1:50" x14ac:dyDescent="0.25">
      <c r="A79" s="2" t="s">
        <v>238</v>
      </c>
      <c r="B79" s="2"/>
      <c r="C79" s="2"/>
      <c r="D79" s="2"/>
      <c r="E79" s="2"/>
      <c r="F79" s="6">
        <f t="shared" si="4"/>
        <v>0</v>
      </c>
      <c r="G79" s="2"/>
      <c r="H79" s="2">
        <v>10</v>
      </c>
      <c r="I79" s="2">
        <v>75</v>
      </c>
      <c r="J79" s="2">
        <v>10</v>
      </c>
      <c r="K79" s="2">
        <v>5</v>
      </c>
      <c r="L79" s="6">
        <f t="shared" si="5"/>
        <v>100</v>
      </c>
      <c r="AX79" s="6"/>
    </row>
    <row r="80" spans="1:50" x14ac:dyDescent="0.25">
      <c r="A80" s="2" t="s">
        <v>238</v>
      </c>
      <c r="B80" s="2"/>
      <c r="C80" s="2"/>
      <c r="D80" s="2"/>
      <c r="E80" s="2"/>
      <c r="F80" s="6">
        <f t="shared" si="4"/>
        <v>0</v>
      </c>
      <c r="G80" s="2"/>
      <c r="H80" s="2"/>
      <c r="I80" s="2">
        <v>100</v>
      </c>
      <c r="J80" s="2"/>
      <c r="K80" s="2"/>
      <c r="L80" s="6">
        <f t="shared" si="5"/>
        <v>100</v>
      </c>
      <c r="AX80" s="6"/>
    </row>
    <row r="81" spans="1:50" x14ac:dyDescent="0.25">
      <c r="A81" s="2" t="s">
        <v>238</v>
      </c>
      <c r="B81" s="2"/>
      <c r="C81" s="2"/>
      <c r="D81" s="2"/>
      <c r="E81" s="2"/>
      <c r="F81" s="6">
        <f t="shared" si="4"/>
        <v>0</v>
      </c>
      <c r="G81" s="2"/>
      <c r="H81" s="2">
        <v>10</v>
      </c>
      <c r="I81" s="2">
        <v>20</v>
      </c>
      <c r="J81" s="2">
        <v>20</v>
      </c>
      <c r="K81" s="2">
        <v>50</v>
      </c>
      <c r="L81" s="6">
        <f t="shared" si="5"/>
        <v>100</v>
      </c>
      <c r="AX81" s="6"/>
    </row>
    <row r="82" spans="1:50" x14ac:dyDescent="0.25">
      <c r="A82" s="2" t="s">
        <v>238</v>
      </c>
      <c r="B82" s="2"/>
      <c r="C82" s="2"/>
      <c r="D82" s="2"/>
      <c r="E82" s="2"/>
      <c r="F82" s="6">
        <f t="shared" si="4"/>
        <v>0</v>
      </c>
      <c r="G82" s="2"/>
      <c r="H82" s="2">
        <v>0</v>
      </c>
      <c r="I82" s="2">
        <v>100</v>
      </c>
      <c r="J82" s="2">
        <v>0</v>
      </c>
      <c r="K82" s="2">
        <v>0</v>
      </c>
      <c r="L82" s="6">
        <f t="shared" si="5"/>
        <v>100</v>
      </c>
      <c r="AX82" s="6"/>
    </row>
    <row r="83" spans="1:50" x14ac:dyDescent="0.25">
      <c r="A83" s="2" t="s">
        <v>238</v>
      </c>
      <c r="B83" s="2"/>
      <c r="C83" s="2"/>
      <c r="D83" s="2"/>
      <c r="E83" s="2"/>
      <c r="F83" s="6">
        <f t="shared" si="4"/>
        <v>0</v>
      </c>
      <c r="G83" s="2"/>
      <c r="H83" s="2"/>
      <c r="I83" s="2">
        <v>80</v>
      </c>
      <c r="J83" s="2">
        <v>5</v>
      </c>
      <c r="K83" s="2">
        <v>15</v>
      </c>
      <c r="L83" s="6">
        <f t="shared" si="5"/>
        <v>100</v>
      </c>
      <c r="AX83" s="6"/>
    </row>
    <row r="84" spans="1:50" x14ac:dyDescent="0.25">
      <c r="A84" s="2" t="s">
        <v>215</v>
      </c>
      <c r="B84" s="2"/>
      <c r="C84" s="2"/>
      <c r="D84" s="2"/>
      <c r="E84" s="2"/>
      <c r="F84" s="6">
        <f t="shared" si="4"/>
        <v>0</v>
      </c>
      <c r="G84" s="2"/>
      <c r="H84" s="2">
        <v>0</v>
      </c>
      <c r="I84" s="2">
        <v>5</v>
      </c>
      <c r="J84" s="2">
        <v>80</v>
      </c>
      <c r="K84" s="2">
        <v>15</v>
      </c>
      <c r="L84" s="6">
        <f t="shared" si="5"/>
        <v>100</v>
      </c>
      <c r="AX84" s="6"/>
    </row>
    <row r="85" spans="1:50" x14ac:dyDescent="0.25">
      <c r="AX85" s="6"/>
    </row>
    <row r="86" spans="1:50" x14ac:dyDescent="0.25">
      <c r="B86">
        <f>SUM(B6:B85)</f>
        <v>3465</v>
      </c>
      <c r="C86" s="19">
        <f>SUM(C6:C85)</f>
        <v>1989</v>
      </c>
      <c r="D86" s="19">
        <f>SUM(D6:D85)</f>
        <v>532</v>
      </c>
      <c r="E86" s="19">
        <f>SUM(E6:E85)</f>
        <v>1114</v>
      </c>
      <c r="F86" s="19">
        <f>SUM(F6:F85)</f>
        <v>7100</v>
      </c>
      <c r="H86" s="19">
        <f>SUM(H6:H85)</f>
        <v>2835</v>
      </c>
      <c r="I86" s="19">
        <f>SUM(I6:I85)</f>
        <v>1862</v>
      </c>
      <c r="J86" s="19">
        <f>SUM(J6:J85)</f>
        <v>1531</v>
      </c>
      <c r="K86" s="19">
        <f>SUM(K6:K85)</f>
        <v>1672</v>
      </c>
      <c r="L86" s="19">
        <f>SUM(L6:L85)</f>
        <v>7900</v>
      </c>
      <c r="U86" s="19"/>
      <c r="V86" s="19"/>
      <c r="W86" s="19"/>
      <c r="X86" s="19"/>
      <c r="Y86" s="19"/>
      <c r="AS86" s="19"/>
      <c r="AT86" s="19"/>
      <c r="AU86" s="19"/>
      <c r="AV86" s="19"/>
      <c r="AW86" s="19"/>
      <c r="AX86" s="19"/>
    </row>
    <row r="87" spans="1:50" x14ac:dyDescent="0.25">
      <c r="U87" s="19"/>
      <c r="V87" s="19">
        <f>SUM(V7:V86)</f>
        <v>3303.2036665773257</v>
      </c>
      <c r="W87" s="19">
        <f>SUM(W7:W86)</f>
        <v>1747.829625658894</v>
      </c>
      <c r="X87" s="19">
        <f>SUM(X7:X86)</f>
        <v>382.84364156169033</v>
      </c>
      <c r="Y87" s="19">
        <f>SUM(Y7:Y86)</f>
        <v>566.22306620209054</v>
      </c>
      <c r="AX87" s="6"/>
    </row>
  </sheetData>
  <sortState ref="AS5:AX86">
    <sortCondition ref="AS5:AS86"/>
    <sortCondition ref="AT5:AT86"/>
  </sortState>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workbookViewId="0"/>
  </sheetViews>
  <sheetFormatPr defaultRowHeight="15" x14ac:dyDescent="0.25"/>
  <cols>
    <col min="1" max="1" width="10.5703125" customWidth="1"/>
    <col min="2" max="2" width="18.28515625" customWidth="1"/>
    <col min="3" max="3" width="22.28515625" customWidth="1"/>
    <col min="4" max="4" width="13.140625" customWidth="1"/>
    <col min="5" max="5" width="9.28515625" style="32"/>
    <col min="8" max="8" width="40.85546875" bestFit="1" customWidth="1"/>
    <col min="9" max="9" width="9.7109375" customWidth="1"/>
  </cols>
  <sheetData>
    <row r="1" spans="1:9" x14ac:dyDescent="0.25">
      <c r="A1" s="15" t="s">
        <v>419</v>
      </c>
    </row>
    <row r="2" spans="1:9" s="19" customFormat="1" x14ac:dyDescent="0.25">
      <c r="A2" s="65" t="s">
        <v>420</v>
      </c>
      <c r="B2" s="32"/>
      <c r="C2" s="32"/>
      <c r="D2" s="32"/>
      <c r="E2" s="32"/>
    </row>
    <row r="3" spans="1:9" x14ac:dyDescent="0.25">
      <c r="A3" s="65" t="s">
        <v>421</v>
      </c>
      <c r="B3" s="32"/>
      <c r="C3" s="32"/>
      <c r="D3" s="32"/>
    </row>
    <row r="4" spans="1:9" s="19" customFormat="1" x14ac:dyDescent="0.25">
      <c r="A4" s="65" t="s">
        <v>598</v>
      </c>
      <c r="B4" s="32"/>
      <c r="C4" s="32"/>
      <c r="D4" s="32"/>
      <c r="E4" s="32"/>
    </row>
    <row r="6" spans="1:9" ht="36.75" x14ac:dyDescent="0.25">
      <c r="B6" s="46" t="s">
        <v>378</v>
      </c>
      <c r="C6" s="46" t="s">
        <v>377</v>
      </c>
      <c r="D6" s="43" t="s">
        <v>42</v>
      </c>
      <c r="H6" s="43" t="s">
        <v>418</v>
      </c>
    </row>
    <row r="7" spans="1:9" x14ac:dyDescent="0.25">
      <c r="A7" s="2" t="s">
        <v>236</v>
      </c>
      <c r="B7" s="2">
        <v>0</v>
      </c>
      <c r="C7" s="2">
        <v>0</v>
      </c>
      <c r="D7" s="2">
        <v>100</v>
      </c>
      <c r="E7" s="32">
        <f t="shared" ref="E7:E53" si="0">SUM(B7:D7)</f>
        <v>100</v>
      </c>
      <c r="H7" s="43" t="s">
        <v>378</v>
      </c>
      <c r="I7" s="34">
        <f>B55/47</f>
        <v>24.085106382978722</v>
      </c>
    </row>
    <row r="8" spans="1:9" x14ac:dyDescent="0.25">
      <c r="A8" s="2" t="s">
        <v>236</v>
      </c>
      <c r="B8" s="3">
        <v>0</v>
      </c>
      <c r="C8" s="3">
        <v>10</v>
      </c>
      <c r="D8" s="3">
        <v>90</v>
      </c>
      <c r="E8" s="32">
        <f t="shared" si="0"/>
        <v>100</v>
      </c>
      <c r="H8" s="43" t="s">
        <v>377</v>
      </c>
      <c r="I8" s="34">
        <f>C55/47</f>
        <v>17.638297872340427</v>
      </c>
    </row>
    <row r="9" spans="1:9" x14ac:dyDescent="0.25">
      <c r="A9" s="2" t="s">
        <v>236</v>
      </c>
      <c r="B9" s="3">
        <v>0</v>
      </c>
      <c r="C9" s="3">
        <v>10</v>
      </c>
      <c r="D9" s="3">
        <v>90</v>
      </c>
      <c r="E9" s="32">
        <f t="shared" si="0"/>
        <v>100</v>
      </c>
      <c r="H9" s="43" t="s">
        <v>42</v>
      </c>
      <c r="I9" s="34">
        <f>D55/47</f>
        <v>58.276595744680854</v>
      </c>
    </row>
    <row r="10" spans="1:9" x14ac:dyDescent="0.25">
      <c r="A10" s="2" t="s">
        <v>236</v>
      </c>
      <c r="B10" s="2">
        <v>0</v>
      </c>
      <c r="C10" s="2">
        <v>10</v>
      </c>
      <c r="D10" s="2">
        <v>90</v>
      </c>
      <c r="E10" s="32">
        <f t="shared" si="0"/>
        <v>100</v>
      </c>
      <c r="I10">
        <f>SUM(I7:I9)</f>
        <v>100</v>
      </c>
    </row>
    <row r="11" spans="1:9" x14ac:dyDescent="0.25">
      <c r="A11" s="2" t="s">
        <v>238</v>
      </c>
      <c r="B11" s="2">
        <v>0</v>
      </c>
      <c r="C11" s="2">
        <v>10</v>
      </c>
      <c r="D11" s="2">
        <v>90</v>
      </c>
      <c r="E11" s="32">
        <f t="shared" si="0"/>
        <v>100</v>
      </c>
    </row>
    <row r="12" spans="1:9" x14ac:dyDescent="0.25">
      <c r="A12" s="2" t="s">
        <v>236</v>
      </c>
      <c r="B12" s="2">
        <v>0</v>
      </c>
      <c r="C12" s="2">
        <v>15</v>
      </c>
      <c r="D12" s="2">
        <v>85</v>
      </c>
      <c r="E12" s="32">
        <f t="shared" si="0"/>
        <v>100</v>
      </c>
    </row>
    <row r="13" spans="1:9" x14ac:dyDescent="0.25">
      <c r="A13" s="2" t="s">
        <v>237</v>
      </c>
      <c r="B13" s="2">
        <v>0</v>
      </c>
      <c r="C13" s="2">
        <v>20</v>
      </c>
      <c r="D13" s="2">
        <v>80</v>
      </c>
      <c r="E13" s="32">
        <f t="shared" si="0"/>
        <v>100</v>
      </c>
    </row>
    <row r="14" spans="1:9" x14ac:dyDescent="0.25">
      <c r="A14" s="2" t="s">
        <v>237</v>
      </c>
      <c r="B14" s="2">
        <v>2</v>
      </c>
      <c r="C14" s="2">
        <v>18</v>
      </c>
      <c r="D14" s="2">
        <v>80</v>
      </c>
      <c r="E14" s="32">
        <f t="shared" si="0"/>
        <v>100</v>
      </c>
    </row>
    <row r="15" spans="1:9" x14ac:dyDescent="0.25">
      <c r="A15" s="2" t="s">
        <v>238</v>
      </c>
      <c r="B15" s="2">
        <v>3</v>
      </c>
      <c r="C15" s="2"/>
      <c r="D15" s="2">
        <v>97</v>
      </c>
      <c r="E15" s="32">
        <f t="shared" si="0"/>
        <v>100</v>
      </c>
    </row>
    <row r="16" spans="1:9" x14ac:dyDescent="0.25">
      <c r="A16" s="2" t="s">
        <v>236</v>
      </c>
      <c r="B16" s="2">
        <v>5</v>
      </c>
      <c r="C16" s="2">
        <v>45</v>
      </c>
      <c r="D16" s="2">
        <v>50</v>
      </c>
      <c r="E16" s="32">
        <f t="shared" si="0"/>
        <v>100</v>
      </c>
    </row>
    <row r="17" spans="1:5" x14ac:dyDescent="0.25">
      <c r="A17" s="2" t="s">
        <v>238</v>
      </c>
      <c r="B17" s="2">
        <v>5</v>
      </c>
      <c r="C17" s="2"/>
      <c r="D17" s="2">
        <v>95</v>
      </c>
      <c r="E17" s="32">
        <f t="shared" si="0"/>
        <v>100</v>
      </c>
    </row>
    <row r="18" spans="1:5" x14ac:dyDescent="0.25">
      <c r="A18" s="2" t="s">
        <v>238</v>
      </c>
      <c r="B18" s="2">
        <v>10</v>
      </c>
      <c r="C18" s="2">
        <v>0</v>
      </c>
      <c r="D18" s="2">
        <v>90</v>
      </c>
      <c r="E18" s="32">
        <f t="shared" si="0"/>
        <v>100</v>
      </c>
    </row>
    <row r="19" spans="1:5" x14ac:dyDescent="0.25">
      <c r="A19" s="2" t="s">
        <v>236</v>
      </c>
      <c r="B19" s="2">
        <v>10</v>
      </c>
      <c r="C19" s="2">
        <v>10</v>
      </c>
      <c r="D19" s="2">
        <v>80</v>
      </c>
      <c r="E19" s="32">
        <f t="shared" si="0"/>
        <v>100</v>
      </c>
    </row>
    <row r="20" spans="1:5" x14ac:dyDescent="0.25">
      <c r="A20" s="2" t="s">
        <v>215</v>
      </c>
      <c r="B20" s="2">
        <v>10</v>
      </c>
      <c r="C20" s="2">
        <v>10</v>
      </c>
      <c r="D20" s="2">
        <v>80</v>
      </c>
      <c r="E20" s="32">
        <f t="shared" si="0"/>
        <v>100</v>
      </c>
    </row>
    <row r="21" spans="1:5" x14ac:dyDescent="0.25">
      <c r="A21" s="2" t="s">
        <v>236</v>
      </c>
      <c r="B21" s="2">
        <v>10</v>
      </c>
      <c r="C21" s="2">
        <v>40</v>
      </c>
      <c r="D21" s="2">
        <v>50</v>
      </c>
      <c r="E21" s="32">
        <f t="shared" si="0"/>
        <v>100</v>
      </c>
    </row>
    <row r="22" spans="1:5" x14ac:dyDescent="0.25">
      <c r="A22" s="2" t="s">
        <v>236</v>
      </c>
      <c r="B22" s="2">
        <v>10</v>
      </c>
      <c r="C22" s="2">
        <v>90</v>
      </c>
      <c r="D22" s="2"/>
      <c r="E22" s="32">
        <f t="shared" si="0"/>
        <v>100</v>
      </c>
    </row>
    <row r="23" spans="1:5" x14ac:dyDescent="0.25">
      <c r="A23" s="2" t="s">
        <v>236</v>
      </c>
      <c r="B23" s="2">
        <v>20</v>
      </c>
      <c r="C23" s="2">
        <v>30</v>
      </c>
      <c r="D23" s="2">
        <v>50</v>
      </c>
      <c r="E23" s="32">
        <f t="shared" si="0"/>
        <v>100</v>
      </c>
    </row>
    <row r="24" spans="1:5" x14ac:dyDescent="0.25">
      <c r="A24" s="2" t="s">
        <v>238</v>
      </c>
      <c r="B24" s="2">
        <v>20</v>
      </c>
      <c r="C24" s="2">
        <v>30</v>
      </c>
      <c r="D24" s="2">
        <v>50</v>
      </c>
      <c r="E24" s="32">
        <f t="shared" si="0"/>
        <v>100</v>
      </c>
    </row>
    <row r="25" spans="1:5" x14ac:dyDescent="0.25">
      <c r="A25" s="2" t="s">
        <v>238</v>
      </c>
      <c r="B25" s="2">
        <v>20</v>
      </c>
      <c r="C25" s="2"/>
      <c r="D25" s="2">
        <v>80</v>
      </c>
      <c r="E25" s="32">
        <f t="shared" si="0"/>
        <v>100</v>
      </c>
    </row>
    <row r="26" spans="1:5" x14ac:dyDescent="0.25">
      <c r="A26" s="2" t="s">
        <v>238</v>
      </c>
      <c r="B26" s="2">
        <v>20</v>
      </c>
      <c r="C26" s="2"/>
      <c r="D26" s="2">
        <v>80</v>
      </c>
      <c r="E26" s="32">
        <f t="shared" si="0"/>
        <v>100</v>
      </c>
    </row>
    <row r="27" spans="1:5" x14ac:dyDescent="0.25">
      <c r="A27" s="2" t="s">
        <v>238</v>
      </c>
      <c r="B27" s="2">
        <v>40</v>
      </c>
      <c r="C27" s="2">
        <v>20</v>
      </c>
      <c r="D27" s="2">
        <v>40</v>
      </c>
      <c r="E27" s="32">
        <f t="shared" si="0"/>
        <v>100</v>
      </c>
    </row>
    <row r="28" spans="1:5" x14ac:dyDescent="0.25">
      <c r="A28" s="2" t="s">
        <v>238</v>
      </c>
      <c r="B28" s="2">
        <v>40</v>
      </c>
      <c r="C28" s="2"/>
      <c r="D28" s="2">
        <v>60</v>
      </c>
      <c r="E28" s="32">
        <f t="shared" si="0"/>
        <v>100</v>
      </c>
    </row>
    <row r="29" spans="1:5" x14ac:dyDescent="0.25">
      <c r="A29" s="2" t="s">
        <v>238</v>
      </c>
      <c r="B29" s="2">
        <v>45</v>
      </c>
      <c r="C29" s="2">
        <v>45</v>
      </c>
      <c r="D29" s="2">
        <v>10</v>
      </c>
      <c r="E29" s="32">
        <f t="shared" si="0"/>
        <v>100</v>
      </c>
    </row>
    <row r="30" spans="1:5" x14ac:dyDescent="0.25">
      <c r="A30" s="2" t="s">
        <v>238</v>
      </c>
      <c r="B30" s="2">
        <v>50</v>
      </c>
      <c r="C30" s="2">
        <v>0</v>
      </c>
      <c r="D30" s="2">
        <v>50</v>
      </c>
      <c r="E30" s="32">
        <f t="shared" si="0"/>
        <v>100</v>
      </c>
    </row>
    <row r="31" spans="1:5" x14ac:dyDescent="0.25">
      <c r="A31" s="2" t="s">
        <v>236</v>
      </c>
      <c r="B31" s="2">
        <v>50</v>
      </c>
      <c r="C31" s="2">
        <v>40</v>
      </c>
      <c r="D31" s="2">
        <v>10</v>
      </c>
      <c r="E31" s="32">
        <f t="shared" si="0"/>
        <v>100</v>
      </c>
    </row>
    <row r="32" spans="1:5" x14ac:dyDescent="0.25">
      <c r="A32" s="2" t="s">
        <v>238</v>
      </c>
      <c r="B32" s="2">
        <v>63</v>
      </c>
      <c r="C32" s="2"/>
      <c r="D32" s="2">
        <v>37</v>
      </c>
      <c r="E32" s="32">
        <f t="shared" si="0"/>
        <v>100</v>
      </c>
    </row>
    <row r="33" spans="1:5" x14ac:dyDescent="0.25">
      <c r="A33" s="2" t="s">
        <v>236</v>
      </c>
      <c r="B33" s="2">
        <v>70</v>
      </c>
      <c r="C33" s="2">
        <v>1</v>
      </c>
      <c r="D33" s="2">
        <v>29</v>
      </c>
      <c r="E33" s="32">
        <f t="shared" si="0"/>
        <v>100</v>
      </c>
    </row>
    <row r="34" spans="1:5" x14ac:dyDescent="0.25">
      <c r="A34" s="2" t="s">
        <v>236</v>
      </c>
      <c r="B34" s="2">
        <v>80</v>
      </c>
      <c r="C34" s="2">
        <v>10</v>
      </c>
      <c r="D34" s="2">
        <v>10</v>
      </c>
      <c r="E34" s="32">
        <f t="shared" si="0"/>
        <v>100</v>
      </c>
    </row>
    <row r="35" spans="1:5" x14ac:dyDescent="0.25">
      <c r="A35" s="2" t="s">
        <v>215</v>
      </c>
      <c r="B35" s="2">
        <v>80</v>
      </c>
      <c r="C35" s="2">
        <v>15</v>
      </c>
      <c r="D35" s="2">
        <v>5</v>
      </c>
      <c r="E35" s="32">
        <f t="shared" si="0"/>
        <v>100</v>
      </c>
    </row>
    <row r="36" spans="1:5" x14ac:dyDescent="0.25">
      <c r="A36" s="2" t="s">
        <v>238</v>
      </c>
      <c r="B36" s="2">
        <v>80</v>
      </c>
      <c r="C36" s="2">
        <v>20</v>
      </c>
      <c r="D36" s="2"/>
      <c r="E36" s="32">
        <f t="shared" si="0"/>
        <v>100</v>
      </c>
    </row>
    <row r="37" spans="1:5" x14ac:dyDescent="0.25">
      <c r="A37" s="2" t="s">
        <v>238</v>
      </c>
      <c r="B37" s="2">
        <v>90</v>
      </c>
      <c r="C37" s="2"/>
      <c r="D37" s="2">
        <v>10</v>
      </c>
      <c r="E37" s="32">
        <f t="shared" si="0"/>
        <v>100</v>
      </c>
    </row>
    <row r="38" spans="1:5" x14ac:dyDescent="0.25">
      <c r="A38" s="2" t="s">
        <v>238</v>
      </c>
      <c r="B38" s="2">
        <v>99</v>
      </c>
      <c r="C38" s="2"/>
      <c r="D38" s="2">
        <v>1</v>
      </c>
      <c r="E38" s="32">
        <f t="shared" si="0"/>
        <v>100</v>
      </c>
    </row>
    <row r="39" spans="1:5" x14ac:dyDescent="0.25">
      <c r="A39" s="2" t="s">
        <v>238</v>
      </c>
      <c r="B39" s="2">
        <v>100</v>
      </c>
      <c r="C39" s="2">
        <v>0</v>
      </c>
      <c r="D39" s="2">
        <v>0</v>
      </c>
      <c r="E39" s="32">
        <f t="shared" si="0"/>
        <v>100</v>
      </c>
    </row>
    <row r="40" spans="1:5" x14ac:dyDescent="0.25">
      <c r="A40" s="2" t="s">
        <v>238</v>
      </c>
      <c r="B40" s="2">
        <v>100</v>
      </c>
      <c r="C40" s="2"/>
      <c r="D40" s="2"/>
      <c r="E40" s="32">
        <f t="shared" si="0"/>
        <v>100</v>
      </c>
    </row>
    <row r="41" spans="1:5" x14ac:dyDescent="0.25">
      <c r="A41" s="2" t="s">
        <v>236</v>
      </c>
      <c r="B41" s="2"/>
      <c r="C41" s="2">
        <v>5</v>
      </c>
      <c r="D41" s="2">
        <v>95</v>
      </c>
      <c r="E41" s="32">
        <f t="shared" si="0"/>
        <v>100</v>
      </c>
    </row>
    <row r="42" spans="1:5" x14ac:dyDescent="0.25">
      <c r="A42" s="2" t="s">
        <v>237</v>
      </c>
      <c r="B42" s="2"/>
      <c r="C42" s="2">
        <v>10</v>
      </c>
      <c r="D42" s="2">
        <v>90</v>
      </c>
      <c r="E42" s="32">
        <f t="shared" si="0"/>
        <v>100</v>
      </c>
    </row>
    <row r="43" spans="1:5" x14ac:dyDescent="0.25">
      <c r="A43" s="2" t="s">
        <v>236</v>
      </c>
      <c r="B43" s="2"/>
      <c r="C43" s="2">
        <v>20</v>
      </c>
      <c r="D43" s="2">
        <v>80</v>
      </c>
      <c r="E43" s="32">
        <f t="shared" si="0"/>
        <v>100</v>
      </c>
    </row>
    <row r="44" spans="1:5" x14ac:dyDescent="0.25">
      <c r="A44" s="2" t="s">
        <v>236</v>
      </c>
      <c r="B44" s="2"/>
      <c r="C44" s="2">
        <v>20</v>
      </c>
      <c r="D44" s="2">
        <v>80</v>
      </c>
      <c r="E44" s="32">
        <f t="shared" si="0"/>
        <v>100</v>
      </c>
    </row>
    <row r="45" spans="1:5" x14ac:dyDescent="0.25">
      <c r="A45" s="2" t="s">
        <v>238</v>
      </c>
      <c r="B45" s="2"/>
      <c r="C45" s="2">
        <v>20</v>
      </c>
      <c r="D45" s="2">
        <v>80</v>
      </c>
      <c r="E45" s="32">
        <f t="shared" si="0"/>
        <v>100</v>
      </c>
    </row>
    <row r="46" spans="1:5" x14ac:dyDescent="0.25">
      <c r="A46" s="2" t="s">
        <v>236</v>
      </c>
      <c r="B46" s="2"/>
      <c r="C46" s="2">
        <v>25</v>
      </c>
      <c r="D46" s="2">
        <v>75</v>
      </c>
      <c r="E46" s="32">
        <f t="shared" si="0"/>
        <v>100</v>
      </c>
    </row>
    <row r="47" spans="1:5" x14ac:dyDescent="0.25">
      <c r="A47" s="2" t="s">
        <v>238</v>
      </c>
      <c r="B47" s="2"/>
      <c r="C47" s="2">
        <v>60</v>
      </c>
      <c r="D47" s="2">
        <v>40</v>
      </c>
      <c r="E47" s="32">
        <f t="shared" si="0"/>
        <v>100</v>
      </c>
    </row>
    <row r="48" spans="1:5" x14ac:dyDescent="0.25">
      <c r="A48" s="2" t="s">
        <v>215</v>
      </c>
      <c r="B48" s="2"/>
      <c r="C48" s="2">
        <v>75</v>
      </c>
      <c r="D48" s="2">
        <v>25</v>
      </c>
      <c r="E48" s="32">
        <f t="shared" si="0"/>
        <v>100</v>
      </c>
    </row>
    <row r="49" spans="1:5" x14ac:dyDescent="0.25">
      <c r="A49" s="2" t="s">
        <v>236</v>
      </c>
      <c r="B49" s="2"/>
      <c r="C49" s="2">
        <v>95</v>
      </c>
      <c r="D49" s="2">
        <v>5</v>
      </c>
      <c r="E49" s="32">
        <f t="shared" si="0"/>
        <v>100</v>
      </c>
    </row>
    <row r="50" spans="1:5" x14ac:dyDescent="0.25">
      <c r="A50" s="2" t="s">
        <v>237</v>
      </c>
      <c r="B50" s="2"/>
      <c r="C50" s="2"/>
      <c r="D50" s="2">
        <v>100</v>
      </c>
      <c r="E50" s="32">
        <f t="shared" si="0"/>
        <v>100</v>
      </c>
    </row>
    <row r="51" spans="1:5" x14ac:dyDescent="0.25">
      <c r="A51" s="2" t="s">
        <v>238</v>
      </c>
      <c r="B51" s="2"/>
      <c r="C51" s="2"/>
      <c r="D51" s="2">
        <v>100</v>
      </c>
      <c r="E51" s="32">
        <f t="shared" si="0"/>
        <v>100</v>
      </c>
    </row>
    <row r="52" spans="1:5" x14ac:dyDescent="0.25">
      <c r="A52" s="2" t="s">
        <v>238</v>
      </c>
      <c r="B52" s="2"/>
      <c r="C52" s="2"/>
      <c r="D52" s="2">
        <v>100</v>
      </c>
      <c r="E52" s="32">
        <f t="shared" si="0"/>
        <v>100</v>
      </c>
    </row>
    <row r="53" spans="1:5" x14ac:dyDescent="0.25">
      <c r="A53" s="2" t="s">
        <v>238</v>
      </c>
      <c r="B53" s="2"/>
      <c r="C53" s="2"/>
      <c r="D53" s="2">
        <v>100</v>
      </c>
      <c r="E53" s="32">
        <f t="shared" si="0"/>
        <v>100</v>
      </c>
    </row>
    <row r="55" spans="1:5" x14ac:dyDescent="0.25">
      <c r="B55">
        <f>SUM(B7:B54)</f>
        <v>1132</v>
      </c>
      <c r="C55" s="19">
        <f>SUM(C7:C54)</f>
        <v>829</v>
      </c>
      <c r="D55" s="19">
        <f>SUM(D7:D54)</f>
        <v>2739</v>
      </c>
    </row>
  </sheetData>
  <sortState ref="A5:E83">
    <sortCondition ref="E5:E83"/>
  </sortState>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7"/>
  <sheetViews>
    <sheetView zoomScaleNormal="100" workbookViewId="0"/>
  </sheetViews>
  <sheetFormatPr defaultRowHeight="15" x14ac:dyDescent="0.25"/>
  <cols>
    <col min="1" max="1" width="11.28515625" customWidth="1"/>
    <col min="2" max="2" width="11" customWidth="1"/>
    <col min="3" max="3" width="12.28515625" customWidth="1"/>
    <col min="4" max="4" width="10.28515625" customWidth="1"/>
    <col min="5" max="5" width="10.85546875" customWidth="1"/>
    <col min="6" max="6" width="10.140625" bestFit="1" customWidth="1"/>
    <col min="8" max="8" width="10.140625" customWidth="1"/>
    <col min="9" max="9" width="11.28515625" customWidth="1"/>
    <col min="10" max="10" width="14.85546875" customWidth="1"/>
    <col min="12" max="13" width="11.140625" customWidth="1"/>
    <col min="14" max="15" width="10.140625" customWidth="1"/>
  </cols>
  <sheetData>
    <row r="1" spans="1:20" x14ac:dyDescent="0.25">
      <c r="A1" s="20" t="s">
        <v>379</v>
      </c>
    </row>
    <row r="3" spans="1:20" s="46" customFormat="1" ht="60" x14ac:dyDescent="0.2">
      <c r="B3" s="46" t="s">
        <v>387</v>
      </c>
      <c r="C3" s="46" t="s">
        <v>388</v>
      </c>
      <c r="D3" s="46" t="s">
        <v>389</v>
      </c>
      <c r="E3" s="46" t="s">
        <v>393</v>
      </c>
      <c r="F3" s="46" t="s">
        <v>390</v>
      </c>
      <c r="G3" s="46" t="s">
        <v>394</v>
      </c>
      <c r="H3" s="46" t="s">
        <v>391</v>
      </c>
      <c r="I3" s="46" t="s">
        <v>395</v>
      </c>
      <c r="J3" s="46" t="s">
        <v>392</v>
      </c>
      <c r="K3" s="46" t="s">
        <v>396</v>
      </c>
      <c r="L3" s="46" t="s">
        <v>397</v>
      </c>
      <c r="M3" s="46" t="s">
        <v>398</v>
      </c>
      <c r="N3" s="46" t="s">
        <v>399</v>
      </c>
      <c r="O3" s="46" t="s">
        <v>400</v>
      </c>
      <c r="P3" s="46" t="s">
        <v>401</v>
      </c>
      <c r="Q3" s="46" t="s">
        <v>402</v>
      </c>
      <c r="R3" s="46" t="s">
        <v>403</v>
      </c>
      <c r="S3" s="46" t="s">
        <v>404</v>
      </c>
      <c r="T3" s="46" t="s">
        <v>405</v>
      </c>
    </row>
    <row r="4" spans="1:20" x14ac:dyDescent="0.25">
      <c r="A4" s="2" t="s">
        <v>238</v>
      </c>
      <c r="B4" s="2">
        <v>1</v>
      </c>
      <c r="C4" s="2">
        <v>1</v>
      </c>
      <c r="D4" s="2"/>
      <c r="E4" s="2"/>
      <c r="F4" s="2"/>
      <c r="G4" s="2"/>
      <c r="H4" s="2">
        <v>3</v>
      </c>
      <c r="I4" s="2">
        <v>3</v>
      </c>
      <c r="J4" s="2"/>
      <c r="K4" s="2"/>
      <c r="L4" s="2"/>
      <c r="M4" s="2"/>
      <c r="N4" s="2"/>
      <c r="O4" s="2"/>
      <c r="P4" s="2"/>
      <c r="Q4" s="2"/>
      <c r="R4" s="2"/>
      <c r="S4" s="2"/>
      <c r="T4" s="2"/>
    </row>
    <row r="5" spans="1:20" x14ac:dyDescent="0.25">
      <c r="A5" s="2" t="s">
        <v>236</v>
      </c>
      <c r="B5" s="2">
        <v>1</v>
      </c>
      <c r="C5" s="2">
        <v>2</v>
      </c>
      <c r="D5" s="2">
        <v>1</v>
      </c>
      <c r="E5" s="2">
        <v>2</v>
      </c>
      <c r="F5" s="2">
        <v>1</v>
      </c>
      <c r="G5" s="2">
        <v>2</v>
      </c>
      <c r="H5" s="2"/>
      <c r="I5" s="2"/>
      <c r="J5" s="2"/>
      <c r="K5" s="2"/>
      <c r="L5" s="2"/>
      <c r="M5" s="2"/>
      <c r="N5" s="2"/>
      <c r="O5" s="2"/>
      <c r="P5" s="2"/>
      <c r="Q5" s="2"/>
      <c r="R5" s="2"/>
      <c r="S5" s="2"/>
      <c r="T5" s="2"/>
    </row>
    <row r="6" spans="1:20" x14ac:dyDescent="0.25">
      <c r="A6" s="3" t="s">
        <v>238</v>
      </c>
      <c r="B6" s="3">
        <v>1</v>
      </c>
      <c r="C6" s="3">
        <v>5</v>
      </c>
      <c r="D6" s="3"/>
      <c r="E6" s="3"/>
      <c r="F6" s="3">
        <v>7</v>
      </c>
      <c r="G6" s="3">
        <v>7</v>
      </c>
      <c r="H6" s="3">
        <v>1</v>
      </c>
      <c r="I6" s="3">
        <v>1</v>
      </c>
      <c r="J6" s="3"/>
      <c r="K6" s="3"/>
      <c r="L6" s="3"/>
      <c r="M6" s="3"/>
      <c r="N6" s="3"/>
      <c r="O6" s="3"/>
      <c r="P6" s="3"/>
      <c r="Q6" s="3"/>
      <c r="R6" s="3"/>
      <c r="S6" s="3"/>
      <c r="T6" s="3"/>
    </row>
    <row r="7" spans="1:20" x14ac:dyDescent="0.25">
      <c r="A7" s="2" t="s">
        <v>238</v>
      </c>
      <c r="B7" s="2">
        <v>1</v>
      </c>
      <c r="C7" s="2">
        <v>5</v>
      </c>
      <c r="D7" s="2"/>
      <c r="E7" s="2"/>
      <c r="F7" s="2"/>
      <c r="G7" s="2">
        <v>6</v>
      </c>
      <c r="H7" s="2"/>
      <c r="I7" s="2"/>
      <c r="J7" s="2">
        <v>1</v>
      </c>
      <c r="K7" s="2">
        <v>1</v>
      </c>
      <c r="L7" s="2"/>
      <c r="M7" s="2"/>
      <c r="N7" s="2"/>
      <c r="O7" s="2"/>
      <c r="P7" s="2"/>
      <c r="Q7" s="2"/>
      <c r="R7" s="2"/>
      <c r="S7" s="2"/>
      <c r="T7" s="2"/>
    </row>
    <row r="8" spans="1:20" x14ac:dyDescent="0.25">
      <c r="A8" s="2" t="s">
        <v>238</v>
      </c>
      <c r="B8" s="2">
        <v>1</v>
      </c>
      <c r="C8" s="2">
        <v>10</v>
      </c>
      <c r="D8" s="2">
        <v>1</v>
      </c>
      <c r="E8" s="2">
        <v>10</v>
      </c>
      <c r="F8" s="2">
        <v>1</v>
      </c>
      <c r="G8" s="2">
        <v>1</v>
      </c>
      <c r="H8" s="2">
        <v>1</v>
      </c>
      <c r="I8" s="2">
        <v>1</v>
      </c>
      <c r="J8" s="2">
        <v>1</v>
      </c>
      <c r="K8" s="2">
        <v>10</v>
      </c>
      <c r="L8" s="2"/>
      <c r="M8" s="2"/>
      <c r="N8" s="2"/>
      <c r="O8" s="2"/>
      <c r="P8" s="2">
        <v>1</v>
      </c>
      <c r="Q8" s="2">
        <v>10</v>
      </c>
      <c r="R8" s="2"/>
      <c r="S8" s="2"/>
      <c r="T8" s="2"/>
    </row>
    <row r="9" spans="1:20" x14ac:dyDescent="0.25">
      <c r="A9" s="2" t="s">
        <v>238</v>
      </c>
      <c r="B9" s="2">
        <v>1</v>
      </c>
      <c r="C9" s="2">
        <v>20</v>
      </c>
      <c r="D9" s="2"/>
      <c r="E9" s="2">
        <v>10</v>
      </c>
      <c r="F9" s="2"/>
      <c r="G9" s="2">
        <v>5</v>
      </c>
      <c r="H9" s="2"/>
      <c r="I9" s="2">
        <v>5</v>
      </c>
      <c r="J9" s="2"/>
      <c r="K9" s="2">
        <v>5</v>
      </c>
      <c r="L9" s="2"/>
      <c r="M9" s="2"/>
      <c r="N9" s="2"/>
      <c r="O9" s="2"/>
      <c r="P9" s="2"/>
      <c r="Q9" s="2">
        <v>5</v>
      </c>
      <c r="R9" s="2"/>
      <c r="S9" s="2"/>
      <c r="T9" s="2"/>
    </row>
    <row r="10" spans="1:20" x14ac:dyDescent="0.25">
      <c r="A10" s="2" t="s">
        <v>238</v>
      </c>
      <c r="B10" s="2">
        <v>1</v>
      </c>
      <c r="C10" s="2">
        <v>50</v>
      </c>
      <c r="D10" s="2"/>
      <c r="E10" s="2"/>
      <c r="F10" s="2"/>
      <c r="G10" s="2"/>
      <c r="H10" s="2"/>
      <c r="I10" s="2"/>
      <c r="J10" s="2"/>
      <c r="K10" s="2"/>
      <c r="L10" s="2"/>
      <c r="M10" s="2"/>
      <c r="N10" s="2"/>
      <c r="O10" s="2"/>
      <c r="P10" s="2"/>
      <c r="Q10" s="2"/>
      <c r="R10" s="2"/>
      <c r="S10" s="2"/>
      <c r="T10" s="2"/>
    </row>
    <row r="11" spans="1:20" x14ac:dyDescent="0.25">
      <c r="A11" s="2" t="s">
        <v>215</v>
      </c>
      <c r="B11" s="2">
        <v>1</v>
      </c>
      <c r="C11" s="2"/>
      <c r="D11" s="2"/>
      <c r="E11" s="2"/>
      <c r="F11" s="2"/>
      <c r="G11" s="2"/>
      <c r="H11" s="2"/>
      <c r="I11" s="2"/>
      <c r="J11" s="2"/>
      <c r="K11" s="2"/>
      <c r="L11" s="2"/>
      <c r="M11" s="2"/>
      <c r="N11" s="2"/>
      <c r="O11" s="2"/>
      <c r="P11" s="2"/>
      <c r="Q11" s="2"/>
      <c r="R11" s="2"/>
      <c r="S11" s="2"/>
      <c r="T11" s="2"/>
    </row>
    <row r="12" spans="1:20" x14ac:dyDescent="0.25">
      <c r="A12" s="2" t="s">
        <v>238</v>
      </c>
      <c r="B12" s="2">
        <v>2</v>
      </c>
      <c r="C12" s="2">
        <v>4</v>
      </c>
      <c r="D12" s="2">
        <v>1</v>
      </c>
      <c r="E12" s="2"/>
      <c r="F12" s="2"/>
      <c r="G12" s="2"/>
      <c r="H12" s="2"/>
      <c r="I12" s="2"/>
      <c r="J12" s="2"/>
      <c r="K12" s="2"/>
      <c r="L12" s="2"/>
      <c r="M12" s="2"/>
      <c r="N12" s="2"/>
      <c r="O12" s="2"/>
      <c r="P12" s="2"/>
      <c r="Q12" s="2"/>
      <c r="R12" s="2"/>
      <c r="S12" s="2"/>
      <c r="T12" s="2"/>
    </row>
    <row r="13" spans="1:20" x14ac:dyDescent="0.25">
      <c r="A13" s="2" t="s">
        <v>238</v>
      </c>
      <c r="B13" s="2">
        <v>2</v>
      </c>
      <c r="C13" s="2">
        <v>10</v>
      </c>
      <c r="D13" s="2">
        <v>2</v>
      </c>
      <c r="E13" s="2">
        <v>10</v>
      </c>
      <c r="F13" s="2"/>
      <c r="G13" s="2"/>
      <c r="H13" s="2"/>
      <c r="I13" s="2"/>
      <c r="J13" s="2"/>
      <c r="K13" s="2"/>
      <c r="L13" s="2"/>
      <c r="M13" s="2"/>
      <c r="N13" s="2"/>
      <c r="O13" s="2"/>
      <c r="P13" s="2"/>
      <c r="Q13" s="2"/>
      <c r="R13" s="2"/>
      <c r="S13" s="2"/>
      <c r="T13" s="2"/>
    </row>
    <row r="14" spans="1:20" x14ac:dyDescent="0.25">
      <c r="A14" s="2" t="s">
        <v>215</v>
      </c>
      <c r="B14" s="2">
        <v>3</v>
      </c>
      <c r="C14" s="2">
        <v>5</v>
      </c>
      <c r="D14" s="2"/>
      <c r="E14" s="2"/>
      <c r="F14" s="2">
        <v>3</v>
      </c>
      <c r="G14" s="2">
        <v>4</v>
      </c>
      <c r="H14" s="2"/>
      <c r="I14" s="2"/>
      <c r="J14" s="2"/>
      <c r="K14" s="2"/>
      <c r="L14" s="2"/>
      <c r="M14" s="2"/>
      <c r="N14" s="2"/>
      <c r="O14" s="2"/>
      <c r="P14" s="2"/>
      <c r="Q14" s="2"/>
      <c r="R14" s="2"/>
      <c r="S14" s="2"/>
      <c r="T14" s="2"/>
    </row>
    <row r="15" spans="1:20" x14ac:dyDescent="0.25">
      <c r="A15" s="2" t="s">
        <v>238</v>
      </c>
      <c r="B15" s="2">
        <v>3</v>
      </c>
      <c r="C15" s="2">
        <v>60</v>
      </c>
      <c r="D15" s="2">
        <v>3</v>
      </c>
      <c r="E15" s="2">
        <v>60</v>
      </c>
      <c r="F15" s="2">
        <v>1</v>
      </c>
      <c r="G15" s="2">
        <v>60</v>
      </c>
      <c r="H15" s="2">
        <v>1</v>
      </c>
      <c r="I15" s="2">
        <v>60</v>
      </c>
      <c r="J15" s="2">
        <v>1</v>
      </c>
      <c r="K15" s="2">
        <v>10</v>
      </c>
      <c r="L15" s="2"/>
      <c r="M15" s="2"/>
      <c r="N15" s="2"/>
      <c r="O15" s="2"/>
      <c r="P15" s="2">
        <v>1</v>
      </c>
      <c r="Q15" s="2">
        <v>60</v>
      </c>
      <c r="R15" s="2">
        <v>20</v>
      </c>
      <c r="S15" s="2">
        <v>60</v>
      </c>
      <c r="T15" s="2" t="s">
        <v>146</v>
      </c>
    </row>
    <row r="16" spans="1:20" x14ac:dyDescent="0.25">
      <c r="A16" s="2" t="s">
        <v>238</v>
      </c>
      <c r="B16" s="2">
        <v>5</v>
      </c>
      <c r="C16" s="2">
        <v>10</v>
      </c>
      <c r="D16" s="2">
        <v>20</v>
      </c>
      <c r="E16" s="2">
        <v>45</v>
      </c>
      <c r="F16" s="2"/>
      <c r="G16" s="2"/>
      <c r="H16" s="2">
        <v>5</v>
      </c>
      <c r="I16" s="2">
        <v>15</v>
      </c>
      <c r="J16" s="2">
        <v>1</v>
      </c>
      <c r="K16" s="2">
        <v>15</v>
      </c>
      <c r="L16" s="2"/>
      <c r="M16" s="2"/>
      <c r="N16" s="2"/>
      <c r="O16" s="2"/>
      <c r="P16" s="2"/>
      <c r="Q16" s="2"/>
      <c r="R16" s="2"/>
      <c r="S16" s="2"/>
      <c r="T16" s="2"/>
    </row>
    <row r="17" spans="1:20" x14ac:dyDescent="0.25">
      <c r="A17" s="2" t="s">
        <v>236</v>
      </c>
      <c r="B17" s="2">
        <v>5</v>
      </c>
      <c r="C17" s="2">
        <v>10</v>
      </c>
      <c r="D17" s="2"/>
      <c r="E17" s="2"/>
      <c r="F17" s="2"/>
      <c r="G17" s="2"/>
      <c r="H17" s="2">
        <v>5</v>
      </c>
      <c r="I17" s="2">
        <v>10</v>
      </c>
      <c r="J17" s="2"/>
      <c r="K17" s="2"/>
      <c r="L17" s="2"/>
      <c r="M17" s="2"/>
      <c r="N17" s="2"/>
      <c r="O17" s="2"/>
      <c r="P17" s="2"/>
      <c r="Q17" s="2"/>
      <c r="R17" s="2"/>
      <c r="S17" s="2"/>
      <c r="T17" s="2"/>
    </row>
    <row r="18" spans="1:20" x14ac:dyDescent="0.25">
      <c r="A18" s="2" t="s">
        <v>236</v>
      </c>
      <c r="B18" s="2">
        <v>5</v>
      </c>
      <c r="C18" s="2">
        <v>10</v>
      </c>
      <c r="D18" s="2"/>
      <c r="E18" s="2"/>
      <c r="F18" s="2"/>
      <c r="G18" s="2"/>
      <c r="H18" s="2"/>
      <c r="I18" s="2"/>
      <c r="J18" s="2"/>
      <c r="K18" s="2"/>
      <c r="L18" s="2"/>
      <c r="M18" s="2"/>
      <c r="N18" s="2"/>
      <c r="O18" s="2"/>
      <c r="P18" s="2"/>
      <c r="Q18" s="2"/>
      <c r="R18" s="2"/>
      <c r="S18" s="2"/>
      <c r="T18" s="2"/>
    </row>
    <row r="19" spans="1:20" x14ac:dyDescent="0.25">
      <c r="A19" s="2" t="s">
        <v>238</v>
      </c>
      <c r="B19" s="2">
        <v>5</v>
      </c>
      <c r="C19" s="2">
        <v>25</v>
      </c>
      <c r="D19" s="2">
        <v>1</v>
      </c>
      <c r="E19" s="2">
        <v>1</v>
      </c>
      <c r="F19" s="2">
        <v>1</v>
      </c>
      <c r="G19" s="2">
        <v>1</v>
      </c>
      <c r="H19" s="2">
        <v>1</v>
      </c>
      <c r="I19" s="2">
        <v>1</v>
      </c>
      <c r="J19" s="2">
        <v>1</v>
      </c>
      <c r="K19" s="2">
        <v>1</v>
      </c>
      <c r="L19" s="2"/>
      <c r="M19" s="2"/>
      <c r="N19" s="2"/>
      <c r="O19" s="2"/>
      <c r="P19" s="2">
        <v>1</v>
      </c>
      <c r="Q19" s="2">
        <v>1</v>
      </c>
      <c r="R19" s="2"/>
      <c r="S19" s="2">
        <v>1</v>
      </c>
      <c r="T19" s="2"/>
    </row>
    <row r="20" spans="1:20" x14ac:dyDescent="0.25">
      <c r="A20" s="2" t="s">
        <v>236</v>
      </c>
      <c r="B20" s="2">
        <v>5</v>
      </c>
      <c r="C20" s="2"/>
      <c r="D20" s="2"/>
      <c r="E20" s="2"/>
      <c r="F20" s="2"/>
      <c r="G20" s="2"/>
      <c r="H20" s="2"/>
      <c r="I20" s="2"/>
      <c r="J20" s="2"/>
      <c r="K20" s="2"/>
      <c r="L20" s="2"/>
      <c r="M20" s="2"/>
      <c r="N20" s="2"/>
      <c r="O20" s="2"/>
      <c r="P20" s="2"/>
      <c r="Q20" s="2"/>
      <c r="R20" s="2">
        <v>5</v>
      </c>
      <c r="S20" s="2"/>
      <c r="T20" s="2" t="s">
        <v>161</v>
      </c>
    </row>
    <row r="21" spans="1:20" x14ac:dyDescent="0.25">
      <c r="A21" s="2" t="s">
        <v>215</v>
      </c>
      <c r="B21" s="2">
        <v>8</v>
      </c>
      <c r="C21" s="2">
        <v>11</v>
      </c>
      <c r="D21" s="2">
        <v>1</v>
      </c>
      <c r="E21" s="2"/>
      <c r="F21" s="2">
        <v>1</v>
      </c>
      <c r="G21" s="2"/>
      <c r="H21" s="2"/>
      <c r="I21" s="2"/>
      <c r="J21" s="2"/>
      <c r="K21" s="2"/>
      <c r="L21" s="2"/>
      <c r="M21" s="2"/>
      <c r="N21" s="2"/>
      <c r="O21" s="2"/>
      <c r="P21" s="2"/>
      <c r="Q21" s="2"/>
      <c r="R21" s="2"/>
      <c r="S21" s="2"/>
      <c r="T21" s="2" t="s">
        <v>130</v>
      </c>
    </row>
    <row r="22" spans="1:20" x14ac:dyDescent="0.25">
      <c r="A22" s="2" t="s">
        <v>236</v>
      </c>
      <c r="B22" s="2">
        <v>8</v>
      </c>
      <c r="C22" s="2">
        <v>25</v>
      </c>
      <c r="D22" s="2"/>
      <c r="E22" s="2">
        <v>75</v>
      </c>
      <c r="F22" s="2"/>
      <c r="G22" s="2"/>
      <c r="H22" s="2"/>
      <c r="I22" s="2"/>
      <c r="J22" s="2"/>
      <c r="K22" s="2"/>
      <c r="L22" s="2"/>
      <c r="M22" s="2"/>
      <c r="N22" s="2"/>
      <c r="O22" s="2"/>
      <c r="P22" s="2"/>
      <c r="Q22" s="2"/>
      <c r="R22" s="2"/>
      <c r="S22" s="2"/>
      <c r="T22" s="2"/>
    </row>
    <row r="23" spans="1:20" x14ac:dyDescent="0.25">
      <c r="A23" s="2" t="s">
        <v>238</v>
      </c>
      <c r="B23" s="2">
        <v>10</v>
      </c>
      <c r="C23" s="2">
        <v>10</v>
      </c>
      <c r="D23" s="2"/>
      <c r="E23" s="2"/>
      <c r="F23" s="2"/>
      <c r="G23" s="2"/>
      <c r="H23" s="2"/>
      <c r="I23" s="2"/>
      <c r="J23" s="2"/>
      <c r="K23" s="2"/>
      <c r="L23" s="2"/>
      <c r="M23" s="2"/>
      <c r="N23" s="2"/>
      <c r="O23" s="2"/>
      <c r="P23" s="2"/>
      <c r="Q23" s="2"/>
      <c r="R23" s="2"/>
      <c r="S23" s="2"/>
      <c r="T23" s="2"/>
    </row>
    <row r="24" spans="1:20" x14ac:dyDescent="0.25">
      <c r="A24" s="2" t="s">
        <v>236</v>
      </c>
      <c r="B24" s="2">
        <v>10</v>
      </c>
      <c r="C24" s="2">
        <v>15</v>
      </c>
      <c r="D24" s="2"/>
      <c r="E24" s="2"/>
      <c r="F24" s="2"/>
      <c r="G24" s="2"/>
      <c r="H24" s="2"/>
      <c r="I24" s="2"/>
      <c r="J24" s="2"/>
      <c r="K24" s="2"/>
      <c r="L24" s="2"/>
      <c r="M24" s="2"/>
      <c r="N24" s="2"/>
      <c r="O24" s="2"/>
      <c r="P24" s="2"/>
      <c r="Q24" s="2"/>
      <c r="R24" s="2"/>
      <c r="S24" s="2"/>
      <c r="T24" s="2"/>
    </row>
    <row r="25" spans="1:20" x14ac:dyDescent="0.25">
      <c r="A25" s="2" t="s">
        <v>236</v>
      </c>
      <c r="B25" s="2">
        <v>10</v>
      </c>
      <c r="C25" s="2">
        <v>20</v>
      </c>
      <c r="D25" s="2"/>
      <c r="E25" s="2"/>
      <c r="F25" s="2"/>
      <c r="G25" s="2"/>
      <c r="H25" s="2"/>
      <c r="I25" s="2"/>
      <c r="J25" s="2"/>
      <c r="K25" s="2"/>
      <c r="L25" s="2"/>
      <c r="M25" s="2"/>
      <c r="N25" s="2"/>
      <c r="O25" s="2"/>
      <c r="P25" s="2"/>
      <c r="Q25" s="2"/>
      <c r="R25" s="2"/>
      <c r="S25" s="2"/>
      <c r="T25" s="2"/>
    </row>
    <row r="26" spans="1:20" x14ac:dyDescent="0.25">
      <c r="A26" s="2" t="s">
        <v>238</v>
      </c>
      <c r="B26" s="2">
        <v>15</v>
      </c>
      <c r="C26" s="2">
        <v>20</v>
      </c>
      <c r="D26" s="2"/>
      <c r="E26" s="2"/>
      <c r="F26" s="2"/>
      <c r="G26" s="2"/>
      <c r="H26" s="2"/>
      <c r="I26" s="2"/>
      <c r="J26" s="2"/>
      <c r="K26" s="2"/>
      <c r="L26" s="2"/>
      <c r="M26" s="2"/>
      <c r="N26" s="2"/>
      <c r="O26" s="2"/>
      <c r="P26" s="2"/>
      <c r="Q26" s="2"/>
      <c r="R26" s="2"/>
      <c r="S26" s="2"/>
      <c r="T26" s="2"/>
    </row>
    <row r="27" spans="1:20" x14ac:dyDescent="0.25">
      <c r="A27" s="2" t="s">
        <v>236</v>
      </c>
      <c r="B27" s="2">
        <v>20</v>
      </c>
      <c r="C27" s="2">
        <v>30</v>
      </c>
      <c r="D27" s="2"/>
      <c r="E27" s="2"/>
      <c r="F27" s="2"/>
      <c r="G27" s="2"/>
      <c r="H27" s="2"/>
      <c r="I27" s="2"/>
      <c r="J27" s="2"/>
      <c r="K27" s="2"/>
      <c r="L27" s="2"/>
      <c r="M27" s="2"/>
      <c r="N27" s="2"/>
      <c r="O27" s="2"/>
      <c r="P27" s="2">
        <v>20</v>
      </c>
      <c r="Q27" s="2">
        <v>30</v>
      </c>
      <c r="R27" s="2"/>
      <c r="S27" s="2"/>
      <c r="T27" s="2"/>
    </row>
    <row r="28" spans="1:20" x14ac:dyDescent="0.25">
      <c r="A28" s="2" t="s">
        <v>238</v>
      </c>
      <c r="B28" s="2">
        <v>20</v>
      </c>
      <c r="C28" s="2"/>
      <c r="D28" s="2"/>
      <c r="E28" s="2"/>
      <c r="F28" s="2"/>
      <c r="G28" s="2"/>
      <c r="H28" s="2"/>
      <c r="I28" s="2"/>
      <c r="J28" s="2"/>
      <c r="K28" s="2"/>
      <c r="L28" s="2"/>
      <c r="M28" s="2"/>
      <c r="N28" s="2"/>
      <c r="O28" s="2"/>
      <c r="P28" s="2"/>
      <c r="Q28" s="2"/>
      <c r="R28" s="2"/>
      <c r="S28" s="2"/>
      <c r="T28" s="2" t="s">
        <v>147</v>
      </c>
    </row>
    <row r="29" spans="1:20" x14ac:dyDescent="0.25">
      <c r="A29" s="2" t="s">
        <v>238</v>
      </c>
      <c r="B29" s="2">
        <v>25</v>
      </c>
      <c r="C29" s="2">
        <v>45</v>
      </c>
      <c r="D29" s="2">
        <v>7</v>
      </c>
      <c r="E29" s="2">
        <v>45</v>
      </c>
      <c r="F29" s="2">
        <v>7</v>
      </c>
      <c r="G29" s="2">
        <v>45</v>
      </c>
      <c r="H29" s="2"/>
      <c r="I29" s="2"/>
      <c r="J29" s="2"/>
      <c r="K29" s="2"/>
      <c r="L29" s="2"/>
      <c r="M29" s="2"/>
      <c r="N29" s="2"/>
      <c r="O29" s="2"/>
      <c r="P29" s="2"/>
      <c r="Q29" s="2">
        <v>10</v>
      </c>
      <c r="R29" s="2">
        <v>5</v>
      </c>
      <c r="S29" s="2">
        <v>5</v>
      </c>
      <c r="T29" s="2" t="s">
        <v>131</v>
      </c>
    </row>
    <row r="30" spans="1:20" x14ac:dyDescent="0.25">
      <c r="A30" s="2" t="s">
        <v>215</v>
      </c>
      <c r="B30" s="2">
        <v>25</v>
      </c>
      <c r="C30" s="2"/>
      <c r="D30" s="2"/>
      <c r="E30" s="2"/>
      <c r="F30" s="2"/>
      <c r="G30" s="2"/>
      <c r="H30" s="2"/>
      <c r="I30" s="2"/>
      <c r="J30" s="2"/>
      <c r="K30" s="2"/>
      <c r="L30" s="2">
        <v>2</v>
      </c>
      <c r="M30" s="2"/>
      <c r="N30" s="2"/>
      <c r="O30" s="2"/>
      <c r="P30" s="2">
        <v>22</v>
      </c>
      <c r="Q30" s="2"/>
      <c r="R30" s="2"/>
      <c r="S30" s="2"/>
      <c r="T30" s="2"/>
    </row>
    <row r="31" spans="1:20" x14ac:dyDescent="0.25">
      <c r="A31" s="2" t="s">
        <v>236</v>
      </c>
      <c r="B31" s="2">
        <v>50</v>
      </c>
      <c r="C31" s="2">
        <v>50</v>
      </c>
      <c r="D31" s="2"/>
      <c r="E31" s="2">
        <v>50</v>
      </c>
      <c r="F31" s="2"/>
      <c r="G31" s="2">
        <v>50</v>
      </c>
      <c r="H31" s="2"/>
      <c r="I31" s="2">
        <v>50</v>
      </c>
      <c r="J31" s="2"/>
      <c r="K31" s="2"/>
      <c r="L31" s="2"/>
      <c r="M31" s="2"/>
      <c r="N31" s="2"/>
      <c r="O31" s="2"/>
      <c r="P31" s="2"/>
      <c r="Q31" s="2"/>
      <c r="R31" s="2"/>
      <c r="S31" s="2"/>
      <c r="T31" s="2"/>
    </row>
    <row r="32" spans="1:20" x14ac:dyDescent="0.25">
      <c r="A32" s="2" t="s">
        <v>238</v>
      </c>
      <c r="B32" s="2">
        <v>50</v>
      </c>
      <c r="C32" s="2">
        <v>50</v>
      </c>
      <c r="D32" s="2"/>
      <c r="E32" s="2"/>
      <c r="F32" s="2"/>
      <c r="G32" s="2"/>
      <c r="H32" s="2"/>
      <c r="I32" s="2"/>
      <c r="J32" s="2"/>
      <c r="K32" s="2"/>
      <c r="L32" s="2"/>
      <c r="M32" s="2"/>
      <c r="N32" s="2"/>
      <c r="O32" s="2"/>
      <c r="P32" s="2">
        <v>1</v>
      </c>
      <c r="Q32" s="2">
        <v>1</v>
      </c>
      <c r="R32" s="2"/>
      <c r="S32" s="2"/>
      <c r="T32" s="2"/>
    </row>
    <row r="33" spans="1:20" x14ac:dyDescent="0.25">
      <c r="A33" s="2" t="s">
        <v>238</v>
      </c>
      <c r="B33" s="2">
        <v>50</v>
      </c>
      <c r="C33" s="2">
        <v>55</v>
      </c>
      <c r="D33" s="2"/>
      <c r="E33" s="2"/>
      <c r="F33" s="2">
        <v>40</v>
      </c>
      <c r="G33" s="2">
        <v>45</v>
      </c>
      <c r="H33" s="2"/>
      <c r="I33" s="2"/>
      <c r="J33" s="2"/>
      <c r="K33" s="2"/>
      <c r="L33" s="2"/>
      <c r="M33" s="2"/>
      <c r="N33" s="2"/>
      <c r="O33" s="2"/>
      <c r="P33" s="2"/>
      <c r="Q33" s="2"/>
      <c r="R33" s="2"/>
      <c r="S33" s="2"/>
      <c r="T33" s="2"/>
    </row>
    <row r="34" spans="1:20" x14ac:dyDescent="0.25">
      <c r="A34" s="2" t="s">
        <v>236</v>
      </c>
      <c r="B34" s="2">
        <v>50</v>
      </c>
      <c r="C34" s="2">
        <v>70</v>
      </c>
      <c r="D34" s="2"/>
      <c r="E34" s="2"/>
      <c r="F34" s="2"/>
      <c r="G34" s="2"/>
      <c r="H34" s="2"/>
      <c r="I34" s="2"/>
      <c r="J34" s="2"/>
      <c r="K34" s="2"/>
      <c r="L34" s="2"/>
      <c r="M34" s="2"/>
      <c r="N34" s="2"/>
      <c r="O34" s="2"/>
      <c r="P34" s="2">
        <v>1</v>
      </c>
      <c r="Q34" s="2">
        <v>2</v>
      </c>
      <c r="R34" s="2"/>
      <c r="S34" s="2"/>
      <c r="T34" s="2"/>
    </row>
    <row r="35" spans="1:20" x14ac:dyDescent="0.25">
      <c r="A35" s="2" t="s">
        <v>237</v>
      </c>
      <c r="B35" s="2">
        <v>50</v>
      </c>
      <c r="C35" s="2">
        <v>75</v>
      </c>
      <c r="D35" s="2">
        <v>25</v>
      </c>
      <c r="E35" s="2">
        <v>50</v>
      </c>
      <c r="F35" s="2">
        <v>10</v>
      </c>
      <c r="G35" s="2">
        <v>25</v>
      </c>
      <c r="H35" s="2"/>
      <c r="I35" s="2"/>
      <c r="J35" s="2">
        <v>10</v>
      </c>
      <c r="K35" s="2"/>
      <c r="L35" s="2"/>
      <c r="M35" s="2"/>
      <c r="N35" s="2"/>
      <c r="O35" s="2"/>
      <c r="P35" s="2"/>
      <c r="Q35" s="2"/>
      <c r="R35" s="2"/>
      <c r="S35" s="2"/>
      <c r="T35" s="2"/>
    </row>
    <row r="36" spans="1:20" x14ac:dyDescent="0.25">
      <c r="A36" s="2" t="s">
        <v>238</v>
      </c>
      <c r="B36" s="2">
        <v>50</v>
      </c>
      <c r="C36" s="2">
        <v>75</v>
      </c>
      <c r="D36" s="2"/>
      <c r="E36" s="2"/>
      <c r="F36" s="2"/>
      <c r="G36" s="2"/>
      <c r="H36" s="2"/>
      <c r="I36" s="2"/>
      <c r="J36" s="2"/>
      <c r="K36" s="2"/>
      <c r="L36" s="2"/>
      <c r="M36" s="2"/>
      <c r="N36" s="2"/>
      <c r="O36" s="2"/>
      <c r="P36" s="2"/>
      <c r="Q36" s="2"/>
      <c r="R36" s="2"/>
      <c r="S36" s="2"/>
      <c r="T36" s="2"/>
    </row>
    <row r="37" spans="1:20" x14ac:dyDescent="0.25">
      <c r="A37" s="2" t="s">
        <v>238</v>
      </c>
      <c r="B37" s="2">
        <v>60</v>
      </c>
      <c r="C37" s="2">
        <v>60</v>
      </c>
      <c r="D37" s="2">
        <v>1</v>
      </c>
      <c r="E37" s="2">
        <v>1</v>
      </c>
      <c r="F37" s="2">
        <v>1</v>
      </c>
      <c r="G37" s="2">
        <v>1</v>
      </c>
      <c r="H37" s="2">
        <v>1</v>
      </c>
      <c r="I37" s="2">
        <v>1</v>
      </c>
      <c r="J37" s="2">
        <v>1</v>
      </c>
      <c r="K37" s="2">
        <v>1</v>
      </c>
      <c r="L37" s="2"/>
      <c r="M37" s="2"/>
      <c r="N37" s="2"/>
      <c r="O37" s="2"/>
      <c r="P37" s="2">
        <v>1</v>
      </c>
      <c r="Q37" s="2">
        <v>1</v>
      </c>
      <c r="R37" s="2"/>
      <c r="S37" s="2"/>
      <c r="T37" s="2"/>
    </row>
    <row r="38" spans="1:20" x14ac:dyDescent="0.25">
      <c r="A38" s="2" t="s">
        <v>238</v>
      </c>
      <c r="B38" s="2">
        <v>60</v>
      </c>
      <c r="C38" s="2">
        <v>62</v>
      </c>
      <c r="D38" s="2"/>
      <c r="E38" s="2">
        <v>100</v>
      </c>
      <c r="F38" s="2">
        <v>100</v>
      </c>
      <c r="G38" s="2">
        <v>100</v>
      </c>
      <c r="H38" s="2"/>
      <c r="I38" s="2"/>
      <c r="J38" s="2"/>
      <c r="K38" s="2"/>
      <c r="L38" s="2"/>
      <c r="M38" s="2"/>
      <c r="N38" s="2"/>
      <c r="O38" s="2"/>
      <c r="P38" s="2"/>
      <c r="Q38" s="2"/>
      <c r="R38" s="2"/>
      <c r="S38" s="2"/>
      <c r="T38" s="2" t="s">
        <v>164</v>
      </c>
    </row>
    <row r="39" spans="1:20" x14ac:dyDescent="0.25">
      <c r="A39" s="2" t="s">
        <v>215</v>
      </c>
      <c r="B39" s="2">
        <v>60</v>
      </c>
      <c r="C39" s="2">
        <v>65</v>
      </c>
      <c r="D39" s="2"/>
      <c r="E39" s="2"/>
      <c r="F39" s="2">
        <v>10</v>
      </c>
      <c r="G39" s="2">
        <v>12</v>
      </c>
      <c r="H39" s="2"/>
      <c r="I39" s="2"/>
      <c r="J39" s="2"/>
      <c r="K39" s="2"/>
      <c r="L39" s="2"/>
      <c r="M39" s="2"/>
      <c r="N39" s="2"/>
      <c r="O39" s="2"/>
      <c r="P39" s="2"/>
      <c r="Q39" s="2"/>
      <c r="R39" s="2"/>
      <c r="S39" s="2"/>
      <c r="T39" s="2"/>
    </row>
    <row r="40" spans="1:20" x14ac:dyDescent="0.25">
      <c r="A40" s="2" t="s">
        <v>236</v>
      </c>
      <c r="B40" s="2">
        <v>65</v>
      </c>
      <c r="C40" s="2">
        <v>65</v>
      </c>
      <c r="D40" s="2">
        <v>65</v>
      </c>
      <c r="E40" s="2">
        <v>65</v>
      </c>
      <c r="F40" s="2">
        <v>5</v>
      </c>
      <c r="G40" s="2">
        <v>5</v>
      </c>
      <c r="H40" s="2">
        <v>5</v>
      </c>
      <c r="I40" s="2">
        <v>7</v>
      </c>
      <c r="J40" s="2"/>
      <c r="K40" s="2"/>
      <c r="L40" s="2"/>
      <c r="M40" s="2"/>
      <c r="N40" s="2"/>
      <c r="O40" s="2"/>
      <c r="P40" s="2"/>
      <c r="Q40" s="2"/>
      <c r="R40" s="2"/>
      <c r="S40" s="2"/>
      <c r="T40" s="2"/>
    </row>
    <row r="41" spans="1:20" x14ac:dyDescent="0.25">
      <c r="A41" s="2" t="s">
        <v>238</v>
      </c>
      <c r="B41" s="2">
        <v>70</v>
      </c>
      <c r="C41" s="2">
        <v>80</v>
      </c>
      <c r="D41" s="2">
        <v>5</v>
      </c>
      <c r="E41" s="2">
        <v>8</v>
      </c>
      <c r="F41" s="2">
        <v>1</v>
      </c>
      <c r="G41" s="2">
        <v>1</v>
      </c>
      <c r="H41" s="2">
        <v>10</v>
      </c>
      <c r="I41" s="2">
        <v>10</v>
      </c>
      <c r="J41" s="2">
        <v>3</v>
      </c>
      <c r="K41" s="2">
        <v>5</v>
      </c>
      <c r="L41" s="2"/>
      <c r="M41" s="2"/>
      <c r="N41" s="2"/>
      <c r="O41" s="2"/>
      <c r="P41" s="2">
        <v>3</v>
      </c>
      <c r="Q41" s="2">
        <v>3</v>
      </c>
      <c r="R41" s="2"/>
      <c r="S41" s="2"/>
      <c r="T41" s="2"/>
    </row>
    <row r="42" spans="1:20" x14ac:dyDescent="0.25">
      <c r="A42" s="2" t="s">
        <v>236</v>
      </c>
      <c r="B42" s="2">
        <v>70</v>
      </c>
      <c r="C42" s="2">
        <v>80</v>
      </c>
      <c r="D42" s="2"/>
      <c r="E42" s="2"/>
      <c r="F42" s="2"/>
      <c r="G42" s="2"/>
      <c r="H42" s="2"/>
      <c r="I42" s="2"/>
      <c r="J42" s="2"/>
      <c r="K42" s="2"/>
      <c r="L42" s="2"/>
      <c r="M42" s="2"/>
      <c r="N42" s="2"/>
      <c r="O42" s="2"/>
      <c r="P42" s="2"/>
      <c r="Q42" s="2"/>
      <c r="R42" s="2"/>
      <c r="S42" s="2"/>
      <c r="T42" s="2"/>
    </row>
    <row r="43" spans="1:20" x14ac:dyDescent="0.25">
      <c r="A43" s="2" t="s">
        <v>237</v>
      </c>
      <c r="B43" s="2">
        <v>70</v>
      </c>
      <c r="C43" s="2">
        <v>90</v>
      </c>
      <c r="D43" s="2">
        <v>5</v>
      </c>
      <c r="E43" s="2">
        <v>5</v>
      </c>
      <c r="F43" s="2">
        <v>10</v>
      </c>
      <c r="G43" s="2">
        <v>10</v>
      </c>
      <c r="H43" s="2"/>
      <c r="I43" s="2"/>
      <c r="J43" s="2">
        <v>10</v>
      </c>
      <c r="K43" s="2">
        <v>15</v>
      </c>
      <c r="L43" s="2"/>
      <c r="M43" s="2"/>
      <c r="N43" s="2"/>
      <c r="O43" s="2"/>
      <c r="P43" s="2">
        <v>15</v>
      </c>
      <c r="Q43" s="2">
        <v>20</v>
      </c>
      <c r="R43" s="2"/>
      <c r="S43" s="2">
        <v>5</v>
      </c>
      <c r="T43" s="2" t="s">
        <v>134</v>
      </c>
    </row>
    <row r="44" spans="1:20" x14ac:dyDescent="0.25">
      <c r="A44" s="2" t="s">
        <v>238</v>
      </c>
      <c r="B44" s="2">
        <v>70</v>
      </c>
      <c r="C44" s="2">
        <v>90</v>
      </c>
      <c r="D44" s="2"/>
      <c r="E44" s="2"/>
      <c r="F44" s="2"/>
      <c r="G44" s="2"/>
      <c r="H44" s="2"/>
      <c r="I44" s="2"/>
      <c r="J44" s="2"/>
      <c r="K44" s="2"/>
      <c r="L44" s="2"/>
      <c r="M44" s="2"/>
      <c r="N44" s="2"/>
      <c r="O44" s="2"/>
      <c r="P44" s="2"/>
      <c r="Q44" s="2"/>
      <c r="R44" s="2"/>
      <c r="S44" s="2"/>
      <c r="T44" s="2"/>
    </row>
    <row r="45" spans="1:20" x14ac:dyDescent="0.25">
      <c r="A45" s="2" t="s">
        <v>236</v>
      </c>
      <c r="B45" s="2">
        <v>75</v>
      </c>
      <c r="C45" s="2"/>
      <c r="D45" s="2">
        <v>75</v>
      </c>
      <c r="E45" s="2"/>
      <c r="F45" s="2">
        <v>74</v>
      </c>
      <c r="G45" s="2"/>
      <c r="H45" s="2"/>
      <c r="I45" s="2"/>
      <c r="J45" s="2"/>
      <c r="K45" s="2"/>
      <c r="L45" s="2"/>
      <c r="M45" s="2"/>
      <c r="N45" s="2"/>
      <c r="O45" s="2"/>
      <c r="P45" s="2"/>
      <c r="Q45" s="2"/>
      <c r="R45" s="2"/>
      <c r="S45" s="2"/>
      <c r="T45" s="2"/>
    </row>
    <row r="46" spans="1:20" x14ac:dyDescent="0.25">
      <c r="A46" s="2" t="s">
        <v>236</v>
      </c>
      <c r="B46" s="2">
        <v>80</v>
      </c>
      <c r="C46" s="2">
        <v>60</v>
      </c>
      <c r="D46" s="2">
        <v>70</v>
      </c>
      <c r="E46" s="2">
        <v>70</v>
      </c>
      <c r="F46" s="2">
        <v>70</v>
      </c>
      <c r="G46" s="2">
        <v>70</v>
      </c>
      <c r="H46" s="2"/>
      <c r="I46" s="2"/>
      <c r="J46" s="2"/>
      <c r="K46" s="2"/>
      <c r="L46" s="2"/>
      <c r="M46" s="2"/>
      <c r="N46" s="2"/>
      <c r="O46" s="2"/>
      <c r="P46" s="2"/>
      <c r="Q46" s="2"/>
      <c r="R46" s="2"/>
      <c r="S46" s="2"/>
      <c r="T46" s="2"/>
    </row>
    <row r="47" spans="1:20" x14ac:dyDescent="0.25">
      <c r="A47" s="2" t="s">
        <v>238</v>
      </c>
      <c r="B47" s="2">
        <v>80</v>
      </c>
      <c r="C47" s="2">
        <v>80</v>
      </c>
      <c r="D47" s="2"/>
      <c r="E47" s="2"/>
      <c r="F47" s="2"/>
      <c r="G47" s="2"/>
      <c r="H47" s="2"/>
      <c r="I47" s="2"/>
      <c r="J47" s="2"/>
      <c r="K47" s="2"/>
      <c r="L47" s="2"/>
      <c r="M47" s="2"/>
      <c r="N47" s="2"/>
      <c r="O47" s="2"/>
      <c r="P47" s="2"/>
      <c r="Q47" s="2"/>
      <c r="R47" s="2"/>
      <c r="S47" s="2"/>
      <c r="T47" s="2"/>
    </row>
    <row r="48" spans="1:20" x14ac:dyDescent="0.25">
      <c r="A48" s="2" t="s">
        <v>236</v>
      </c>
      <c r="B48" s="3">
        <v>80</v>
      </c>
      <c r="C48" s="3">
        <v>85</v>
      </c>
      <c r="D48" s="3">
        <v>70</v>
      </c>
      <c r="E48" s="3">
        <v>85</v>
      </c>
      <c r="F48" s="3">
        <v>50</v>
      </c>
      <c r="G48" s="3">
        <v>80</v>
      </c>
      <c r="H48" s="3"/>
      <c r="I48" s="3"/>
      <c r="J48" s="3">
        <v>2</v>
      </c>
      <c r="K48" s="3">
        <v>4</v>
      </c>
      <c r="L48" s="3"/>
      <c r="M48" s="3"/>
      <c r="N48" s="3"/>
      <c r="O48" s="3"/>
      <c r="P48" s="3"/>
      <c r="Q48" s="3"/>
      <c r="R48" s="3"/>
      <c r="S48" s="3"/>
      <c r="T48" s="3"/>
    </row>
    <row r="49" spans="1:20" x14ac:dyDescent="0.25">
      <c r="A49" s="2" t="s">
        <v>238</v>
      </c>
      <c r="B49" s="2">
        <v>80</v>
      </c>
      <c r="C49" s="2">
        <v>85</v>
      </c>
      <c r="D49" s="2">
        <v>80</v>
      </c>
      <c r="E49" s="2"/>
      <c r="F49" s="2">
        <v>80</v>
      </c>
      <c r="G49" s="2"/>
      <c r="H49" s="2"/>
      <c r="I49" s="2"/>
      <c r="J49" s="2"/>
      <c r="K49" s="2"/>
      <c r="L49" s="2"/>
      <c r="M49" s="2"/>
      <c r="N49" s="2"/>
      <c r="O49" s="2"/>
      <c r="P49" s="2">
        <v>25</v>
      </c>
      <c r="Q49" s="2"/>
      <c r="R49" s="2"/>
      <c r="S49" s="2"/>
      <c r="T49" s="2"/>
    </row>
    <row r="50" spans="1:20" x14ac:dyDescent="0.25">
      <c r="A50" s="2" t="s">
        <v>238</v>
      </c>
      <c r="B50" s="2">
        <v>80</v>
      </c>
      <c r="C50" s="2">
        <v>85</v>
      </c>
      <c r="D50" s="2"/>
      <c r="E50" s="2"/>
      <c r="F50" s="2"/>
      <c r="G50" s="2"/>
      <c r="H50" s="2"/>
      <c r="I50" s="2"/>
      <c r="J50" s="2"/>
      <c r="K50" s="2"/>
      <c r="L50" s="2"/>
      <c r="M50" s="2"/>
      <c r="N50" s="2"/>
      <c r="O50" s="2"/>
      <c r="P50" s="2"/>
      <c r="Q50" s="2">
        <v>80</v>
      </c>
      <c r="R50" s="2"/>
      <c r="S50" s="2"/>
      <c r="T50" s="2"/>
    </row>
    <row r="51" spans="1:20" x14ac:dyDescent="0.25">
      <c r="A51" s="2" t="s">
        <v>215</v>
      </c>
      <c r="B51" s="2">
        <v>80</v>
      </c>
      <c r="C51" s="2">
        <v>90</v>
      </c>
      <c r="D51" s="2">
        <v>20</v>
      </c>
      <c r="E51" s="2">
        <v>20</v>
      </c>
      <c r="F51" s="2">
        <v>10</v>
      </c>
      <c r="G51" s="2">
        <v>20</v>
      </c>
      <c r="H51" s="2"/>
      <c r="I51" s="2">
        <v>75</v>
      </c>
      <c r="J51" s="2">
        <v>1</v>
      </c>
      <c r="K51" s="2">
        <v>3</v>
      </c>
      <c r="L51" s="2"/>
      <c r="M51" s="2"/>
      <c r="N51" s="2"/>
      <c r="O51" s="2"/>
      <c r="P51" s="2"/>
      <c r="Q51" s="2"/>
      <c r="R51" s="2">
        <v>30</v>
      </c>
      <c r="S51" s="2">
        <v>50</v>
      </c>
      <c r="T51" s="2" t="s">
        <v>127</v>
      </c>
    </row>
    <row r="52" spans="1:20" x14ac:dyDescent="0.25">
      <c r="A52" s="2" t="s">
        <v>236</v>
      </c>
      <c r="B52" s="2">
        <v>80</v>
      </c>
      <c r="C52" s="2">
        <v>90</v>
      </c>
      <c r="D52" s="2">
        <v>80</v>
      </c>
      <c r="E52" s="2">
        <v>90</v>
      </c>
      <c r="F52" s="2">
        <v>80</v>
      </c>
      <c r="G52" s="2">
        <v>90</v>
      </c>
      <c r="H52" s="2"/>
      <c r="I52" s="2"/>
      <c r="J52" s="2">
        <v>20</v>
      </c>
      <c r="K52" s="2">
        <v>50</v>
      </c>
      <c r="L52" s="2"/>
      <c r="M52" s="2"/>
      <c r="N52" s="2"/>
      <c r="O52" s="2"/>
      <c r="P52" s="2"/>
      <c r="Q52" s="2"/>
      <c r="R52" s="2"/>
      <c r="S52" s="2"/>
      <c r="T52" s="2"/>
    </row>
    <row r="53" spans="1:20" x14ac:dyDescent="0.25">
      <c r="A53" s="2" t="s">
        <v>237</v>
      </c>
      <c r="B53" s="2">
        <v>80</v>
      </c>
      <c r="C53" s="2">
        <v>90</v>
      </c>
      <c r="D53" s="2"/>
      <c r="E53" s="2"/>
      <c r="F53" s="2">
        <v>1</v>
      </c>
      <c r="G53" s="2">
        <v>2</v>
      </c>
      <c r="H53" s="2">
        <v>1</v>
      </c>
      <c r="I53" s="2">
        <v>2</v>
      </c>
      <c r="J53" s="2"/>
      <c r="K53" s="2"/>
      <c r="L53" s="2"/>
      <c r="M53" s="2"/>
      <c r="N53" s="2"/>
      <c r="O53" s="2"/>
      <c r="P53" s="2"/>
      <c r="Q53" s="2"/>
      <c r="R53" s="2"/>
      <c r="S53" s="2"/>
      <c r="T53" s="2"/>
    </row>
    <row r="54" spans="1:20" x14ac:dyDescent="0.25">
      <c r="A54" s="2" t="s">
        <v>236</v>
      </c>
      <c r="B54" s="2">
        <v>80</v>
      </c>
      <c r="C54" s="2">
        <v>98</v>
      </c>
      <c r="D54" s="2">
        <v>70</v>
      </c>
      <c r="E54" s="2">
        <v>90</v>
      </c>
      <c r="F54" s="2"/>
      <c r="G54" s="2">
        <v>30</v>
      </c>
      <c r="H54" s="2">
        <v>25</v>
      </c>
      <c r="I54" s="2">
        <v>40</v>
      </c>
      <c r="J54" s="2"/>
      <c r="K54" s="2">
        <v>20</v>
      </c>
      <c r="L54" s="2"/>
      <c r="M54" s="2"/>
      <c r="N54" s="2"/>
      <c r="O54" s="2"/>
      <c r="P54" s="2">
        <v>10</v>
      </c>
      <c r="Q54" s="2">
        <v>20</v>
      </c>
      <c r="R54" s="2"/>
      <c r="S54" s="2"/>
      <c r="T54" s="2"/>
    </row>
    <row r="55" spans="1:20" x14ac:dyDescent="0.25">
      <c r="A55" s="2" t="s">
        <v>238</v>
      </c>
      <c r="B55" s="2">
        <v>85</v>
      </c>
      <c r="C55" s="2">
        <v>90</v>
      </c>
      <c r="D55" s="2">
        <v>85</v>
      </c>
      <c r="E55" s="2">
        <v>90</v>
      </c>
      <c r="F55" s="2">
        <v>5</v>
      </c>
      <c r="G55" s="2">
        <v>25</v>
      </c>
      <c r="H55" s="2">
        <v>85</v>
      </c>
      <c r="I55" s="2">
        <v>90</v>
      </c>
      <c r="J55" s="2">
        <v>1</v>
      </c>
      <c r="K55" s="2">
        <v>1</v>
      </c>
      <c r="L55" s="2"/>
      <c r="M55" s="2"/>
      <c r="N55" s="2"/>
      <c r="O55" s="2"/>
      <c r="P55" s="2"/>
      <c r="Q55" s="2"/>
      <c r="R55" s="2"/>
      <c r="S55" s="2"/>
      <c r="T55" s="2" t="s">
        <v>125</v>
      </c>
    </row>
    <row r="56" spans="1:20" x14ac:dyDescent="0.25">
      <c r="A56" s="2" t="s">
        <v>236</v>
      </c>
      <c r="B56" s="3">
        <v>90</v>
      </c>
      <c r="C56" s="3">
        <v>90</v>
      </c>
      <c r="D56" s="3">
        <v>90</v>
      </c>
      <c r="E56" s="3">
        <v>90</v>
      </c>
      <c r="F56" s="3">
        <v>80</v>
      </c>
      <c r="G56" s="3">
        <v>90</v>
      </c>
      <c r="H56" s="3"/>
      <c r="I56" s="3"/>
      <c r="J56" s="3"/>
      <c r="K56" s="3"/>
      <c r="L56" s="3"/>
      <c r="M56" s="3"/>
      <c r="N56" s="3"/>
      <c r="O56" s="3"/>
      <c r="P56" s="3">
        <v>1</v>
      </c>
      <c r="Q56" s="3">
        <v>1</v>
      </c>
      <c r="R56" s="3"/>
      <c r="S56" s="3"/>
      <c r="T56" s="3"/>
    </row>
    <row r="57" spans="1:20" x14ac:dyDescent="0.25">
      <c r="A57" s="2" t="s">
        <v>237</v>
      </c>
      <c r="B57" s="2">
        <v>90</v>
      </c>
      <c r="C57" s="2">
        <v>90</v>
      </c>
      <c r="D57" s="2"/>
      <c r="E57" s="2"/>
      <c r="F57" s="2"/>
      <c r="G57" s="2"/>
      <c r="H57" s="2">
        <v>70</v>
      </c>
      <c r="I57" s="2">
        <v>70</v>
      </c>
      <c r="J57" s="2"/>
      <c r="K57" s="2"/>
      <c r="L57" s="2"/>
      <c r="M57" s="2"/>
      <c r="N57" s="2"/>
      <c r="O57" s="2"/>
      <c r="P57" s="2"/>
      <c r="Q57" s="2"/>
      <c r="R57" s="2"/>
      <c r="S57" s="2"/>
      <c r="T57" s="2"/>
    </row>
    <row r="58" spans="1:20" x14ac:dyDescent="0.25">
      <c r="A58" s="2" t="s">
        <v>237</v>
      </c>
      <c r="B58" s="2">
        <v>90</v>
      </c>
      <c r="C58" s="2">
        <v>95</v>
      </c>
      <c r="D58" s="2">
        <v>75</v>
      </c>
      <c r="E58" s="2"/>
      <c r="F58" s="2"/>
      <c r="G58" s="2"/>
      <c r="H58" s="2"/>
      <c r="I58" s="2"/>
      <c r="J58" s="2"/>
      <c r="K58" s="2"/>
      <c r="L58" s="2"/>
      <c r="M58" s="2"/>
      <c r="N58" s="2"/>
      <c r="O58" s="2"/>
      <c r="P58" s="2"/>
      <c r="Q58" s="2"/>
      <c r="R58" s="2"/>
      <c r="S58" s="2"/>
      <c r="T58" s="2"/>
    </row>
    <row r="59" spans="1:20" x14ac:dyDescent="0.25">
      <c r="A59" s="2" t="s">
        <v>238</v>
      </c>
      <c r="B59" s="2">
        <v>90</v>
      </c>
      <c r="C59" s="2">
        <v>99</v>
      </c>
      <c r="D59" s="2">
        <v>85</v>
      </c>
      <c r="E59" s="2">
        <v>99</v>
      </c>
      <c r="F59" s="2">
        <v>85</v>
      </c>
      <c r="G59" s="2">
        <v>99</v>
      </c>
      <c r="H59" s="2"/>
      <c r="I59" s="2"/>
      <c r="J59" s="2"/>
      <c r="K59" s="2"/>
      <c r="L59" s="2"/>
      <c r="M59" s="2"/>
      <c r="N59" s="2"/>
      <c r="O59" s="2"/>
      <c r="P59" s="2"/>
      <c r="Q59" s="2"/>
      <c r="R59" s="2"/>
      <c r="S59" s="2"/>
      <c r="T59" s="2"/>
    </row>
    <row r="60" spans="1:20" x14ac:dyDescent="0.25">
      <c r="A60" s="2" t="s">
        <v>238</v>
      </c>
      <c r="B60" s="2">
        <v>90</v>
      </c>
      <c r="C60" s="2">
        <v>100</v>
      </c>
      <c r="D60" s="2"/>
      <c r="E60" s="2"/>
      <c r="F60" s="2"/>
      <c r="G60" s="2"/>
      <c r="H60" s="2"/>
      <c r="I60" s="2"/>
      <c r="J60" s="2"/>
      <c r="K60" s="2"/>
      <c r="L60" s="2"/>
      <c r="M60" s="2"/>
      <c r="N60" s="2"/>
      <c r="O60" s="2"/>
      <c r="P60" s="2"/>
      <c r="Q60" s="2"/>
      <c r="R60" s="2"/>
      <c r="S60" s="2"/>
      <c r="T60" s="2"/>
    </row>
    <row r="61" spans="1:20" x14ac:dyDescent="0.25">
      <c r="A61" s="2" t="s">
        <v>236</v>
      </c>
      <c r="B61" s="2">
        <v>95</v>
      </c>
      <c r="C61" s="2">
        <v>83</v>
      </c>
      <c r="D61" s="2">
        <v>3</v>
      </c>
      <c r="E61" s="2">
        <v>4</v>
      </c>
      <c r="F61" s="2">
        <v>1</v>
      </c>
      <c r="G61" s="2">
        <v>3</v>
      </c>
      <c r="H61" s="2"/>
      <c r="I61" s="2">
        <v>3</v>
      </c>
      <c r="J61" s="2"/>
      <c r="K61" s="2">
        <v>2</v>
      </c>
      <c r="L61" s="2"/>
      <c r="M61" s="2"/>
      <c r="N61" s="2"/>
      <c r="O61" s="2"/>
      <c r="P61" s="2"/>
      <c r="Q61" s="2">
        <v>2</v>
      </c>
      <c r="R61" s="2"/>
      <c r="S61" s="2"/>
      <c r="T61" s="2"/>
    </row>
    <row r="62" spans="1:20" x14ac:dyDescent="0.25">
      <c r="A62" s="2" t="s">
        <v>238</v>
      </c>
      <c r="B62" s="2">
        <v>95</v>
      </c>
      <c r="C62" s="2">
        <v>95</v>
      </c>
      <c r="D62" s="2">
        <v>35</v>
      </c>
      <c r="E62" s="2">
        <v>95</v>
      </c>
      <c r="F62" s="2">
        <v>35</v>
      </c>
      <c r="G62" s="2">
        <v>95</v>
      </c>
      <c r="H62" s="2"/>
      <c r="I62" s="2"/>
      <c r="J62" s="2"/>
      <c r="K62" s="2">
        <v>50</v>
      </c>
      <c r="L62" s="2"/>
      <c r="M62" s="2"/>
      <c r="N62" s="2"/>
      <c r="O62" s="2"/>
      <c r="P62" s="2"/>
      <c r="Q62" s="2"/>
      <c r="R62" s="2"/>
      <c r="S62" s="2"/>
      <c r="T62" s="2"/>
    </row>
    <row r="63" spans="1:20" x14ac:dyDescent="0.25">
      <c r="A63" s="2" t="s">
        <v>238</v>
      </c>
      <c r="B63" s="2">
        <v>95</v>
      </c>
      <c r="C63" s="2">
        <v>95</v>
      </c>
      <c r="D63" s="2">
        <v>95</v>
      </c>
      <c r="E63" s="2">
        <v>95</v>
      </c>
      <c r="F63" s="2"/>
      <c r="G63" s="2"/>
      <c r="H63" s="2"/>
      <c r="I63" s="2"/>
      <c r="J63" s="2"/>
      <c r="K63" s="2"/>
      <c r="L63" s="2"/>
      <c r="M63" s="2"/>
      <c r="N63" s="2"/>
      <c r="O63" s="2"/>
      <c r="P63" s="2"/>
      <c r="Q63" s="2"/>
      <c r="R63" s="2"/>
      <c r="S63" s="2"/>
      <c r="T63" s="2"/>
    </row>
    <row r="64" spans="1:20" x14ac:dyDescent="0.25">
      <c r="A64" s="2" t="s">
        <v>238</v>
      </c>
      <c r="B64" s="2">
        <v>95</v>
      </c>
      <c r="C64" s="2">
        <v>100</v>
      </c>
      <c r="D64" s="2">
        <v>95</v>
      </c>
      <c r="E64" s="2">
        <v>100</v>
      </c>
      <c r="F64" s="2">
        <v>10</v>
      </c>
      <c r="G64" s="2">
        <v>20</v>
      </c>
      <c r="H64" s="2">
        <v>10</v>
      </c>
      <c r="I64" s="2">
        <v>20</v>
      </c>
      <c r="J64" s="2">
        <v>1</v>
      </c>
      <c r="K64" s="2"/>
      <c r="L64" s="2"/>
      <c r="M64" s="2"/>
      <c r="N64" s="2"/>
      <c r="O64" s="2"/>
      <c r="P64" s="2"/>
      <c r="Q64" s="2"/>
      <c r="R64" s="2"/>
      <c r="S64" s="2"/>
      <c r="T64" s="2"/>
    </row>
    <row r="65" spans="1:20" x14ac:dyDescent="0.25">
      <c r="A65" s="2" t="s">
        <v>238</v>
      </c>
      <c r="B65" s="2">
        <v>97</v>
      </c>
      <c r="C65" s="2">
        <v>100</v>
      </c>
      <c r="D65" s="2">
        <v>1</v>
      </c>
      <c r="E65" s="2">
        <v>1</v>
      </c>
      <c r="F65" s="2">
        <v>1</v>
      </c>
      <c r="G65" s="2">
        <v>1</v>
      </c>
      <c r="H65" s="2"/>
      <c r="I65" s="2"/>
      <c r="J65" s="2"/>
      <c r="K65" s="2"/>
      <c r="L65" s="2"/>
      <c r="M65" s="2"/>
      <c r="N65" s="2"/>
      <c r="O65" s="2"/>
      <c r="P65" s="2"/>
      <c r="Q65" s="2"/>
      <c r="R65" s="2"/>
      <c r="S65" s="2"/>
      <c r="T65" s="2"/>
    </row>
    <row r="66" spans="1:20" x14ac:dyDescent="0.25">
      <c r="A66" s="2" t="s">
        <v>238</v>
      </c>
      <c r="B66" s="2">
        <v>99</v>
      </c>
      <c r="C66" s="2">
        <v>99</v>
      </c>
      <c r="D66" s="2">
        <v>90</v>
      </c>
      <c r="E66" s="2">
        <v>90</v>
      </c>
      <c r="F66" s="2">
        <v>90</v>
      </c>
      <c r="G66" s="2">
        <v>90</v>
      </c>
      <c r="H66" s="2">
        <v>1</v>
      </c>
      <c r="I66" s="2">
        <v>10</v>
      </c>
      <c r="J66" s="2">
        <v>1</v>
      </c>
      <c r="K66" s="2">
        <v>5</v>
      </c>
      <c r="L66" s="2"/>
      <c r="M66" s="2"/>
      <c r="N66" s="2"/>
      <c r="O66" s="2"/>
      <c r="P66" s="2">
        <v>1</v>
      </c>
      <c r="Q66" s="2">
        <v>1</v>
      </c>
      <c r="R66" s="2">
        <v>1</v>
      </c>
      <c r="S66" s="2">
        <v>1</v>
      </c>
      <c r="T66" s="2"/>
    </row>
    <row r="67" spans="1:20" x14ac:dyDescent="0.25">
      <c r="A67" s="2" t="s">
        <v>236</v>
      </c>
      <c r="B67" s="2">
        <v>100</v>
      </c>
      <c r="C67" s="2">
        <v>100</v>
      </c>
      <c r="D67" s="2">
        <v>50</v>
      </c>
      <c r="E67" s="2">
        <v>100</v>
      </c>
      <c r="F67" s="2">
        <v>10</v>
      </c>
      <c r="G67" s="2">
        <v>100</v>
      </c>
      <c r="H67" s="2"/>
      <c r="I67" s="2"/>
      <c r="J67" s="2">
        <v>1</v>
      </c>
      <c r="K67" s="2">
        <v>5</v>
      </c>
      <c r="L67" s="2"/>
      <c r="M67" s="2"/>
      <c r="N67" s="2"/>
      <c r="O67" s="2"/>
      <c r="P67" s="2">
        <v>50</v>
      </c>
      <c r="Q67" s="2">
        <v>100</v>
      </c>
      <c r="R67" s="2"/>
      <c r="S67" s="2"/>
      <c r="T67" s="2"/>
    </row>
    <row r="68" spans="1:20" x14ac:dyDescent="0.25">
      <c r="A68" s="2" t="s">
        <v>236</v>
      </c>
      <c r="B68" s="2">
        <v>100</v>
      </c>
      <c r="C68" s="2">
        <v>100</v>
      </c>
      <c r="D68" s="2">
        <v>80</v>
      </c>
      <c r="E68" s="2">
        <v>80</v>
      </c>
      <c r="F68" s="2">
        <v>80</v>
      </c>
      <c r="G68" s="2">
        <v>80</v>
      </c>
      <c r="H68" s="2"/>
      <c r="I68" s="2"/>
      <c r="J68" s="2"/>
      <c r="K68" s="2"/>
      <c r="L68" s="2"/>
      <c r="M68" s="2"/>
      <c r="N68" s="2"/>
      <c r="O68" s="2"/>
      <c r="P68" s="2">
        <v>60</v>
      </c>
      <c r="Q68" s="2">
        <v>60</v>
      </c>
      <c r="R68" s="2"/>
      <c r="S68" s="2"/>
      <c r="T68" s="2"/>
    </row>
    <row r="69" spans="1:20" x14ac:dyDescent="0.25">
      <c r="A69" s="2" t="s">
        <v>236</v>
      </c>
      <c r="B69" s="2">
        <v>100</v>
      </c>
      <c r="C69" s="2">
        <v>100</v>
      </c>
      <c r="D69" s="2">
        <v>90</v>
      </c>
      <c r="E69" s="2">
        <v>90</v>
      </c>
      <c r="F69" s="2"/>
      <c r="G69" s="2"/>
      <c r="H69" s="2"/>
      <c r="I69" s="2"/>
      <c r="J69" s="2"/>
      <c r="K69" s="2"/>
      <c r="L69" s="2"/>
      <c r="M69" s="2"/>
      <c r="N69" s="2"/>
      <c r="O69" s="2"/>
      <c r="P69" s="2"/>
      <c r="Q69" s="2"/>
      <c r="R69" s="2"/>
      <c r="S69" s="2"/>
      <c r="T69" s="2"/>
    </row>
    <row r="70" spans="1:20" x14ac:dyDescent="0.25">
      <c r="A70" s="2" t="s">
        <v>236</v>
      </c>
      <c r="B70" s="2">
        <v>100</v>
      </c>
      <c r="C70" s="2">
        <v>100</v>
      </c>
      <c r="D70" s="2"/>
      <c r="E70" s="2"/>
      <c r="F70" s="2">
        <v>10</v>
      </c>
      <c r="G70" s="2">
        <v>15</v>
      </c>
      <c r="H70" s="2">
        <v>90</v>
      </c>
      <c r="I70" s="2">
        <v>90</v>
      </c>
      <c r="J70" s="2"/>
      <c r="K70" s="2"/>
      <c r="L70" s="2"/>
      <c r="M70" s="2"/>
      <c r="N70" s="2"/>
      <c r="O70" s="2"/>
      <c r="P70" s="2"/>
      <c r="Q70" s="2"/>
      <c r="R70" s="2"/>
      <c r="S70" s="2"/>
      <c r="T70" s="2"/>
    </row>
    <row r="71" spans="1:20" x14ac:dyDescent="0.25">
      <c r="A71" s="2" t="s">
        <v>236</v>
      </c>
      <c r="B71" s="2">
        <v>100</v>
      </c>
      <c r="C71" s="2"/>
      <c r="D71" s="2">
        <v>40</v>
      </c>
      <c r="E71" s="2"/>
      <c r="F71" s="2">
        <v>79</v>
      </c>
      <c r="G71" s="2"/>
      <c r="H71" s="2">
        <v>1</v>
      </c>
      <c r="I71" s="2"/>
      <c r="J71" s="2">
        <v>1</v>
      </c>
      <c r="K71" s="2"/>
      <c r="L71" s="2"/>
      <c r="M71" s="2"/>
      <c r="N71" s="2"/>
      <c r="O71" s="2"/>
      <c r="P71" s="2">
        <v>1</v>
      </c>
      <c r="Q71" s="2"/>
      <c r="R71" s="2"/>
      <c r="S71" s="2"/>
      <c r="T71" s="2"/>
    </row>
    <row r="72" spans="1:20" x14ac:dyDescent="0.25">
      <c r="A72" s="2" t="s">
        <v>238</v>
      </c>
      <c r="B72" s="2">
        <v>100</v>
      </c>
      <c r="C72" s="2"/>
      <c r="D72" s="2">
        <v>100</v>
      </c>
      <c r="E72" s="2"/>
      <c r="F72" s="2">
        <v>100</v>
      </c>
      <c r="G72" s="2"/>
      <c r="H72" s="2"/>
      <c r="I72" s="2"/>
      <c r="J72" s="2">
        <v>1</v>
      </c>
      <c r="K72" s="2"/>
      <c r="L72" s="2"/>
      <c r="M72" s="2"/>
      <c r="N72" s="2"/>
      <c r="O72" s="2"/>
      <c r="P72" s="2"/>
      <c r="Q72" s="2"/>
      <c r="R72" s="2"/>
      <c r="S72" s="2"/>
      <c r="T72" s="2"/>
    </row>
    <row r="73" spans="1:20" x14ac:dyDescent="0.25">
      <c r="A73" s="2" t="s">
        <v>238</v>
      </c>
      <c r="B73" s="2">
        <v>100</v>
      </c>
      <c r="C73" s="2"/>
      <c r="D73" s="2">
        <v>100</v>
      </c>
      <c r="E73" s="2"/>
      <c r="F73" s="2">
        <v>100</v>
      </c>
      <c r="G73" s="2"/>
      <c r="H73" s="2"/>
      <c r="I73" s="2"/>
      <c r="J73" s="2"/>
      <c r="K73" s="2"/>
      <c r="L73" s="2"/>
      <c r="M73" s="2"/>
      <c r="N73" s="2"/>
      <c r="O73" s="2"/>
      <c r="P73" s="2"/>
      <c r="Q73" s="2"/>
      <c r="R73" s="2"/>
      <c r="S73" s="2"/>
      <c r="T73" s="2"/>
    </row>
    <row r="74" spans="1:20" x14ac:dyDescent="0.25">
      <c r="A74" s="2" t="s">
        <v>236</v>
      </c>
      <c r="B74" s="2">
        <v>100</v>
      </c>
      <c r="C74" s="2"/>
      <c r="D74" s="2"/>
      <c r="E74" s="2"/>
      <c r="F74" s="2"/>
      <c r="G74" s="2"/>
      <c r="H74" s="2"/>
      <c r="I74" s="2"/>
      <c r="J74" s="2"/>
      <c r="K74" s="2"/>
      <c r="L74" s="2"/>
      <c r="M74" s="2"/>
      <c r="N74" s="2"/>
      <c r="O74" s="2"/>
      <c r="P74" s="2">
        <v>30</v>
      </c>
      <c r="Q74" s="2"/>
      <c r="R74" s="2"/>
      <c r="S74" s="2"/>
      <c r="T74" s="2"/>
    </row>
    <row r="75" spans="1:20" x14ac:dyDescent="0.25">
      <c r="A75" s="2" t="s">
        <v>238</v>
      </c>
      <c r="B75" s="2"/>
      <c r="C75" s="2">
        <v>50</v>
      </c>
      <c r="D75" s="2"/>
      <c r="E75" s="2">
        <v>10</v>
      </c>
      <c r="F75" s="2"/>
      <c r="G75" s="2"/>
      <c r="H75" s="2"/>
      <c r="I75" s="2"/>
      <c r="J75" s="2"/>
      <c r="K75" s="2">
        <v>25</v>
      </c>
      <c r="L75" s="2"/>
      <c r="M75" s="2"/>
      <c r="N75" s="2"/>
      <c r="O75" s="2"/>
      <c r="P75" s="2"/>
      <c r="Q75" s="2">
        <v>5</v>
      </c>
      <c r="R75" s="2"/>
      <c r="S75" s="2"/>
      <c r="T75" s="2"/>
    </row>
    <row r="76" spans="1:20" x14ac:dyDescent="0.25">
      <c r="A76" s="2" t="s">
        <v>238</v>
      </c>
      <c r="B76" s="2"/>
      <c r="C76" s="2">
        <v>75</v>
      </c>
      <c r="D76" s="2"/>
      <c r="E76" s="2">
        <v>10</v>
      </c>
      <c r="F76" s="2"/>
      <c r="G76" s="2">
        <v>10</v>
      </c>
      <c r="H76" s="2"/>
      <c r="I76" s="2"/>
      <c r="J76" s="2"/>
      <c r="K76" s="2"/>
      <c r="L76" s="2"/>
      <c r="M76" s="2"/>
      <c r="N76" s="2"/>
      <c r="O76" s="2"/>
      <c r="P76" s="2"/>
      <c r="Q76" s="2"/>
      <c r="R76" s="2">
        <v>2</v>
      </c>
      <c r="S76" s="2"/>
      <c r="T76" s="2" t="s">
        <v>154</v>
      </c>
    </row>
    <row r="77" spans="1:20" x14ac:dyDescent="0.25">
      <c r="A77" s="2" t="s">
        <v>238</v>
      </c>
      <c r="B77" s="2"/>
      <c r="C77" s="2">
        <v>100</v>
      </c>
      <c r="D77" s="2"/>
      <c r="E77" s="2"/>
      <c r="F77" s="2"/>
      <c r="G77" s="2"/>
      <c r="H77" s="2"/>
      <c r="I77" s="2"/>
      <c r="J77" s="2"/>
      <c r="K77" s="2"/>
      <c r="L77" s="2"/>
      <c r="M77" s="2"/>
      <c r="N77" s="2"/>
      <c r="O77" s="2"/>
      <c r="P77" s="2"/>
      <c r="Q77" s="2"/>
      <c r="R77" s="2"/>
      <c r="S77" s="2"/>
      <c r="T77" s="2"/>
    </row>
    <row r="78" spans="1:20" x14ac:dyDescent="0.25">
      <c r="A78" s="2" t="s">
        <v>238</v>
      </c>
      <c r="B78" s="2"/>
      <c r="C78" s="2"/>
      <c r="D78" s="2">
        <v>100</v>
      </c>
      <c r="E78" s="2">
        <v>100</v>
      </c>
      <c r="F78" s="2">
        <v>2</v>
      </c>
      <c r="G78" s="2">
        <v>100</v>
      </c>
      <c r="H78" s="2"/>
      <c r="I78" s="2"/>
      <c r="J78" s="2"/>
      <c r="K78" s="2"/>
      <c r="L78" s="2"/>
      <c r="M78" s="2"/>
      <c r="N78" s="2"/>
      <c r="O78" s="2"/>
      <c r="P78" s="2"/>
      <c r="Q78" s="2"/>
      <c r="R78" s="2"/>
      <c r="S78" s="2"/>
      <c r="T78" s="2"/>
    </row>
    <row r="79" spans="1:20" x14ac:dyDescent="0.25">
      <c r="A79" s="2" t="s">
        <v>236</v>
      </c>
      <c r="B79" s="3"/>
      <c r="C79" s="3"/>
      <c r="D79" s="3">
        <v>100</v>
      </c>
      <c r="E79" s="3"/>
      <c r="F79" s="3">
        <v>30</v>
      </c>
      <c r="G79" s="3"/>
      <c r="H79" s="3"/>
      <c r="I79" s="3"/>
      <c r="J79" s="3"/>
      <c r="K79" s="3"/>
      <c r="L79" s="3"/>
      <c r="M79" s="3"/>
      <c r="N79" s="3"/>
      <c r="O79" s="3"/>
      <c r="P79" s="3"/>
      <c r="Q79" s="3"/>
      <c r="R79" s="3"/>
      <c r="S79" s="3"/>
      <c r="T79" s="3"/>
    </row>
    <row r="80" spans="1:20" x14ac:dyDescent="0.25">
      <c r="A80" s="2" t="s">
        <v>238</v>
      </c>
      <c r="B80" s="2"/>
      <c r="C80" s="2"/>
      <c r="D80" s="2"/>
      <c r="E80" s="2"/>
      <c r="F80" s="2">
        <v>33</v>
      </c>
      <c r="G80" s="2">
        <v>33</v>
      </c>
      <c r="H80" s="2"/>
      <c r="I80" s="2"/>
      <c r="J80" s="2">
        <v>1</v>
      </c>
      <c r="K80" s="2">
        <v>5</v>
      </c>
      <c r="L80" s="2"/>
      <c r="M80" s="2"/>
      <c r="N80" s="2"/>
      <c r="O80" s="2"/>
      <c r="P80" s="2">
        <v>33</v>
      </c>
      <c r="Q80" s="2">
        <v>20</v>
      </c>
      <c r="R80" s="2"/>
      <c r="S80" s="2"/>
      <c r="T80" s="2"/>
    </row>
    <row r="81" spans="1:20" x14ac:dyDescent="0.25">
      <c r="A81" s="2" t="s">
        <v>215</v>
      </c>
      <c r="B81" s="2"/>
      <c r="C81" s="2"/>
      <c r="D81" s="2"/>
      <c r="E81" s="2"/>
      <c r="F81" s="2">
        <v>100</v>
      </c>
      <c r="G81" s="2">
        <v>100</v>
      </c>
      <c r="H81" s="2"/>
      <c r="I81" s="2"/>
      <c r="J81" s="2"/>
      <c r="K81" s="2"/>
      <c r="L81" s="2"/>
      <c r="M81" s="2"/>
      <c r="N81" s="2"/>
      <c r="O81" s="2"/>
      <c r="P81" s="2"/>
      <c r="Q81" s="2"/>
      <c r="R81" s="2"/>
      <c r="S81" s="2"/>
      <c r="T81" s="2"/>
    </row>
    <row r="82" spans="1:20" x14ac:dyDescent="0.25">
      <c r="A82" s="2" t="s">
        <v>238</v>
      </c>
      <c r="B82" s="2"/>
      <c r="C82" s="2"/>
      <c r="D82" s="2"/>
      <c r="E82" s="2"/>
      <c r="F82" s="2"/>
      <c r="G82" s="2"/>
      <c r="H82" s="2"/>
      <c r="I82" s="2"/>
      <c r="J82" s="2"/>
      <c r="K82" s="2"/>
      <c r="L82" s="2"/>
      <c r="M82" s="2"/>
      <c r="N82" s="2"/>
      <c r="O82" s="2"/>
      <c r="P82" s="2"/>
      <c r="Q82" s="2"/>
      <c r="R82" s="2">
        <v>85</v>
      </c>
      <c r="S82" s="2">
        <v>90</v>
      </c>
      <c r="T82" s="2" t="s">
        <v>148</v>
      </c>
    </row>
    <row r="83" spans="1:20" x14ac:dyDescent="0.25">
      <c r="A83" s="2" t="s">
        <v>238</v>
      </c>
      <c r="B83" s="2"/>
      <c r="C83" s="2"/>
      <c r="D83" s="2"/>
      <c r="E83" s="2"/>
      <c r="F83" s="2"/>
      <c r="G83" s="2"/>
      <c r="H83" s="2"/>
      <c r="I83" s="2"/>
      <c r="J83" s="2"/>
      <c r="K83" s="2"/>
      <c r="L83" s="2"/>
      <c r="M83" s="2"/>
      <c r="N83" s="2"/>
      <c r="O83" s="2"/>
      <c r="P83" s="2">
        <v>1</v>
      </c>
      <c r="Q83" s="2">
        <v>5</v>
      </c>
      <c r="R83" s="2"/>
      <c r="S83" s="2"/>
      <c r="T83" s="2"/>
    </row>
    <row r="84" spans="1:20" x14ac:dyDescent="0.25">
      <c r="A84" s="2" t="s">
        <v>238</v>
      </c>
      <c r="B84" s="2"/>
      <c r="C84" s="2"/>
      <c r="D84" s="2"/>
      <c r="E84" s="2"/>
      <c r="F84" s="2"/>
      <c r="G84" s="2"/>
      <c r="H84" s="2"/>
      <c r="I84" s="2"/>
      <c r="J84" s="2"/>
      <c r="K84" s="2"/>
      <c r="L84" s="2"/>
      <c r="M84" s="2"/>
      <c r="N84" s="2"/>
      <c r="O84" s="2"/>
      <c r="P84" s="2"/>
      <c r="Q84" s="2"/>
      <c r="R84" s="2"/>
      <c r="S84" s="2"/>
      <c r="T84" s="2" t="s">
        <v>141</v>
      </c>
    </row>
    <row r="86" spans="1:20" x14ac:dyDescent="0.25">
      <c r="B86">
        <f t="shared" ref="B86:S86" si="0">SUM(B4:B85)</f>
        <v>3725</v>
      </c>
      <c r="C86" s="19">
        <f t="shared" si="0"/>
        <v>3894</v>
      </c>
      <c r="D86" s="19">
        <f t="shared" si="0"/>
        <v>1917</v>
      </c>
      <c r="E86" s="19">
        <f t="shared" si="0"/>
        <v>1946</v>
      </c>
      <c r="F86" s="19">
        <f t="shared" si="0"/>
        <v>1415</v>
      </c>
      <c r="G86" s="19">
        <f t="shared" si="0"/>
        <v>1533</v>
      </c>
      <c r="H86" s="19">
        <f t="shared" si="0"/>
        <v>316</v>
      </c>
      <c r="I86" s="19">
        <f t="shared" si="0"/>
        <v>564</v>
      </c>
      <c r="J86" s="19">
        <f t="shared" si="0"/>
        <v>59</v>
      </c>
      <c r="K86" s="19">
        <f t="shared" si="0"/>
        <v>233</v>
      </c>
      <c r="L86" s="19">
        <f t="shared" si="0"/>
        <v>2</v>
      </c>
      <c r="M86" s="19">
        <f t="shared" si="0"/>
        <v>0</v>
      </c>
      <c r="N86" s="19">
        <f t="shared" si="0"/>
        <v>0</v>
      </c>
      <c r="O86" s="19">
        <f t="shared" si="0"/>
        <v>0</v>
      </c>
      <c r="P86" s="19">
        <f t="shared" si="0"/>
        <v>278</v>
      </c>
      <c r="Q86" s="19">
        <f t="shared" si="0"/>
        <v>437</v>
      </c>
      <c r="R86" s="19">
        <f t="shared" si="0"/>
        <v>148</v>
      </c>
      <c r="S86" s="19">
        <f t="shared" si="0"/>
        <v>212</v>
      </c>
    </row>
    <row r="87" spans="1:20" x14ac:dyDescent="0.25">
      <c r="B87" t="s">
        <v>406</v>
      </c>
      <c r="C87" t="s">
        <v>407</v>
      </c>
      <c r="D87" t="s">
        <v>408</v>
      </c>
      <c r="E87" t="s">
        <v>409</v>
      </c>
      <c r="F87" t="s">
        <v>410</v>
      </c>
      <c r="G87" t="s">
        <v>408</v>
      </c>
      <c r="H87" t="s">
        <v>411</v>
      </c>
      <c r="I87" t="s">
        <v>412</v>
      </c>
      <c r="J87" t="s">
        <v>413</v>
      </c>
      <c r="K87" t="s">
        <v>412</v>
      </c>
      <c r="L87" t="s">
        <v>414</v>
      </c>
      <c r="M87" t="s">
        <v>415</v>
      </c>
      <c r="N87" s="19" t="s">
        <v>415</v>
      </c>
      <c r="O87" s="19" t="s">
        <v>415</v>
      </c>
      <c r="P87" t="s">
        <v>416</v>
      </c>
      <c r="Q87" t="s">
        <v>412</v>
      </c>
      <c r="R87" t="s">
        <v>417</v>
      </c>
      <c r="S87" t="s">
        <v>417</v>
      </c>
    </row>
    <row r="88" spans="1:20" x14ac:dyDescent="0.25">
      <c r="B88" s="25">
        <f>B86/71</f>
        <v>52.464788732394368</v>
      </c>
      <c r="C88" s="25">
        <f>C86/65</f>
        <v>59.907692307692308</v>
      </c>
      <c r="D88" s="25">
        <f>D86/39</f>
        <v>49.153846153846153</v>
      </c>
      <c r="E88" s="25">
        <f>E86/36</f>
        <v>54.055555555555557</v>
      </c>
      <c r="F88" s="25">
        <f>F86/41</f>
        <v>34.512195121951223</v>
      </c>
      <c r="G88" s="25">
        <f>G86/39</f>
        <v>39.307692307692307</v>
      </c>
      <c r="H88" s="25">
        <f>H86/18</f>
        <v>17.555555555555557</v>
      </c>
      <c r="I88" s="25">
        <f>I86/21</f>
        <v>26.857142857142858</v>
      </c>
      <c r="J88" s="25">
        <f>J86/19</f>
        <v>3.1052631578947367</v>
      </c>
      <c r="K88" s="25">
        <f>K86/21</f>
        <v>11.095238095238095</v>
      </c>
      <c r="P88" s="25">
        <f>P86/20</f>
        <v>13.9</v>
      </c>
      <c r="Q88" s="25">
        <f>Q86/21</f>
        <v>20.80952380952381</v>
      </c>
      <c r="R88" s="25">
        <f>R86/7</f>
        <v>21.142857142857142</v>
      </c>
      <c r="S88" s="25">
        <f>S86/7</f>
        <v>30.285714285714285</v>
      </c>
    </row>
    <row r="90" spans="1:20" x14ac:dyDescent="0.25">
      <c r="A90" t="s">
        <v>422</v>
      </c>
    </row>
    <row r="91" spans="1:20" x14ac:dyDescent="0.25">
      <c r="B91" s="43"/>
      <c r="C91" s="48">
        <v>2019</v>
      </c>
      <c r="D91" s="43">
        <v>2017</v>
      </c>
      <c r="E91" s="43">
        <v>2015</v>
      </c>
      <c r="F91" s="43">
        <v>2013</v>
      </c>
      <c r="J91" s="19"/>
      <c r="K91" s="19"/>
      <c r="L91" s="19"/>
      <c r="M91" s="19"/>
    </row>
    <row r="92" spans="1:20" s="19" customFormat="1" x14ac:dyDescent="0.25">
      <c r="B92" s="46" t="s">
        <v>386</v>
      </c>
      <c r="C92" s="49">
        <v>30.285714285714285</v>
      </c>
      <c r="D92" s="49">
        <v>21.142857142857142</v>
      </c>
      <c r="E92" s="43">
        <v>7</v>
      </c>
      <c r="F92" s="43">
        <v>4</v>
      </c>
    </row>
    <row r="93" spans="1:20" ht="24.75" x14ac:dyDescent="0.25">
      <c r="B93" s="46" t="s">
        <v>424</v>
      </c>
      <c r="C93" s="49">
        <v>20.80952380952381</v>
      </c>
      <c r="D93" s="49">
        <v>13.9</v>
      </c>
      <c r="E93" s="43">
        <v>9</v>
      </c>
      <c r="F93" s="43">
        <v>5</v>
      </c>
      <c r="J93" s="19"/>
      <c r="K93" s="19"/>
      <c r="L93" s="24"/>
      <c r="M93" s="24"/>
      <c r="N93" s="34"/>
      <c r="O93" s="34"/>
    </row>
    <row r="94" spans="1:20" ht="24.75" x14ac:dyDescent="0.25">
      <c r="B94" s="46" t="s">
        <v>423</v>
      </c>
      <c r="C94" s="43"/>
      <c r="D94" s="43"/>
      <c r="E94" s="43">
        <v>8</v>
      </c>
      <c r="F94" s="43">
        <v>8</v>
      </c>
      <c r="J94" s="19"/>
      <c r="K94" s="19"/>
      <c r="L94" s="24"/>
      <c r="M94" s="24"/>
    </row>
    <row r="95" spans="1:20" s="19" customFormat="1" ht="48.75" x14ac:dyDescent="0.25">
      <c r="B95" s="46" t="s">
        <v>385</v>
      </c>
      <c r="C95" s="43"/>
      <c r="D95" s="43"/>
      <c r="E95" s="43">
        <v>2</v>
      </c>
      <c r="F95" s="43">
        <v>3</v>
      </c>
      <c r="L95" s="24"/>
      <c r="M95" s="24"/>
    </row>
    <row r="96" spans="1:20" ht="24.75" x14ac:dyDescent="0.25">
      <c r="B96" s="46" t="s">
        <v>384</v>
      </c>
      <c r="C96" s="49">
        <v>11.095238095238095</v>
      </c>
      <c r="D96" s="49">
        <v>3.1052631578947367</v>
      </c>
      <c r="E96" s="43">
        <v>1</v>
      </c>
      <c r="F96" s="43">
        <v>1</v>
      </c>
      <c r="J96" s="19"/>
      <c r="K96" s="19"/>
      <c r="L96" s="24"/>
      <c r="M96" s="24"/>
    </row>
    <row r="97" spans="2:13" s="19" customFormat="1" ht="24.75" x14ac:dyDescent="0.25">
      <c r="B97" s="46" t="s">
        <v>383</v>
      </c>
      <c r="C97" s="49">
        <v>26.857142857142858</v>
      </c>
      <c r="D97" s="49">
        <v>17.555555555555557</v>
      </c>
      <c r="E97" s="50">
        <v>11</v>
      </c>
      <c r="F97" s="43">
        <v>3</v>
      </c>
      <c r="L97" s="24"/>
      <c r="M97" s="24"/>
    </row>
    <row r="98" spans="2:13" x14ac:dyDescent="0.25">
      <c r="B98" s="46" t="s">
        <v>382</v>
      </c>
      <c r="C98" s="49">
        <v>39.307692307692307</v>
      </c>
      <c r="D98" s="49">
        <v>34.512195121951223</v>
      </c>
      <c r="E98" s="43">
        <v>16</v>
      </c>
      <c r="F98" s="43">
        <v>10</v>
      </c>
      <c r="J98" s="19"/>
      <c r="K98" s="19"/>
      <c r="L98" s="24"/>
      <c r="M98" s="24"/>
    </row>
    <row r="99" spans="2:13" ht="24.75" x14ac:dyDescent="0.25">
      <c r="B99" s="46" t="s">
        <v>381</v>
      </c>
      <c r="C99" s="49">
        <v>54.055555555555557</v>
      </c>
      <c r="D99" s="49">
        <v>49.153846153846153</v>
      </c>
      <c r="E99" s="43">
        <v>21</v>
      </c>
      <c r="F99" s="43">
        <v>14</v>
      </c>
      <c r="J99" s="19"/>
      <c r="K99" s="19"/>
      <c r="L99" s="24"/>
      <c r="M99" s="24"/>
    </row>
    <row r="100" spans="2:13" ht="24.75" x14ac:dyDescent="0.25">
      <c r="B100" s="46" t="s">
        <v>380</v>
      </c>
      <c r="C100" s="49">
        <v>59.907692307692308</v>
      </c>
      <c r="D100" s="49">
        <v>52.464788732394368</v>
      </c>
      <c r="E100" s="43">
        <v>53</v>
      </c>
      <c r="F100" s="43">
        <v>34</v>
      </c>
      <c r="J100" s="19"/>
      <c r="K100" s="19"/>
      <c r="L100" s="24"/>
      <c r="M100" s="24"/>
    </row>
    <row r="101" spans="2:13" x14ac:dyDescent="0.25">
      <c r="J101" s="19"/>
      <c r="K101" s="19"/>
      <c r="L101" s="24"/>
      <c r="M101" s="24"/>
    </row>
    <row r="102" spans="2:13" x14ac:dyDescent="0.25">
      <c r="J102" s="19"/>
      <c r="K102" s="19"/>
      <c r="L102" s="24"/>
      <c r="M102" s="24"/>
    </row>
    <row r="103" spans="2:13" x14ac:dyDescent="0.25">
      <c r="J103" s="19"/>
      <c r="K103" s="19"/>
      <c r="L103" s="24"/>
      <c r="M103" s="24"/>
    </row>
    <row r="104" spans="2:13" x14ac:dyDescent="0.25">
      <c r="K104" s="19"/>
    </row>
    <row r="105" spans="2:13" x14ac:dyDescent="0.25">
      <c r="B105" s="16" t="s">
        <v>426</v>
      </c>
    </row>
    <row r="106" spans="2:13" x14ac:dyDescent="0.25">
      <c r="B106" s="43" t="s">
        <v>146</v>
      </c>
    </row>
    <row r="107" spans="2:13" s="19" customFormat="1" x14ac:dyDescent="0.25">
      <c r="B107" s="43" t="s">
        <v>147</v>
      </c>
    </row>
    <row r="108" spans="2:13" s="19" customFormat="1" x14ac:dyDescent="0.25">
      <c r="B108" s="43" t="s">
        <v>148</v>
      </c>
    </row>
    <row r="109" spans="2:13" x14ac:dyDescent="0.25">
      <c r="B109" s="43" t="s">
        <v>161</v>
      </c>
    </row>
    <row r="110" spans="2:13" x14ac:dyDescent="0.25">
      <c r="B110" s="43" t="s">
        <v>130</v>
      </c>
    </row>
    <row r="111" spans="2:13" x14ac:dyDescent="0.25">
      <c r="B111" s="43" t="s">
        <v>141</v>
      </c>
    </row>
    <row r="112" spans="2:13" x14ac:dyDescent="0.25">
      <c r="B112" s="43" t="s">
        <v>131</v>
      </c>
    </row>
    <row r="113" spans="2:2" x14ac:dyDescent="0.25">
      <c r="B113" s="43" t="s">
        <v>164</v>
      </c>
    </row>
    <row r="114" spans="2:2" x14ac:dyDescent="0.25">
      <c r="B114" s="43" t="s">
        <v>134</v>
      </c>
    </row>
    <row r="115" spans="2:2" ht="15" customHeight="1" x14ac:dyDescent="0.25">
      <c r="B115" s="43" t="s">
        <v>127</v>
      </c>
    </row>
    <row r="116" spans="2:2" x14ac:dyDescent="0.25">
      <c r="B116" s="43" t="s">
        <v>125</v>
      </c>
    </row>
    <row r="117" spans="2:2" x14ac:dyDescent="0.25">
      <c r="B117" s="43" t="s">
        <v>154</v>
      </c>
    </row>
    <row r="121" spans="2:2" x14ac:dyDescent="0.25">
      <c r="B121" s="2"/>
    </row>
    <row r="122" spans="2:2" x14ac:dyDescent="0.25">
      <c r="B122" s="2"/>
    </row>
    <row r="123" spans="2:2" x14ac:dyDescent="0.25">
      <c r="B123" s="3"/>
    </row>
    <row r="124" spans="2:2" x14ac:dyDescent="0.25">
      <c r="B124" s="2"/>
    </row>
    <row r="125" spans="2:2" x14ac:dyDescent="0.25">
      <c r="B125" s="2"/>
    </row>
    <row r="127" spans="2:2" x14ac:dyDescent="0.25">
      <c r="B127" s="2"/>
    </row>
  </sheetData>
  <sortState ref="B92:F100">
    <sortCondition ref="C92:C100"/>
  </sortState>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8"/>
  <sheetViews>
    <sheetView workbookViewId="0"/>
  </sheetViews>
  <sheetFormatPr defaultRowHeight="15" x14ac:dyDescent="0.25"/>
  <cols>
    <col min="10" max="10" width="13.85546875" style="47" customWidth="1"/>
    <col min="12" max="12" width="35.85546875" customWidth="1"/>
  </cols>
  <sheetData>
    <row r="1" spans="1:16" x14ac:dyDescent="0.25">
      <c r="A1" s="15" t="s">
        <v>425</v>
      </c>
    </row>
    <row r="4" spans="1:16" s="43" customFormat="1" ht="24" x14ac:dyDescent="0.2">
      <c r="B4" s="43" t="s">
        <v>427</v>
      </c>
      <c r="C4" s="43" t="s">
        <v>428</v>
      </c>
      <c r="D4" s="43" t="s">
        <v>429</v>
      </c>
      <c r="E4" s="43" t="s">
        <v>430</v>
      </c>
      <c r="F4" s="43" t="s">
        <v>431</v>
      </c>
      <c r="G4" s="43" t="s">
        <v>432</v>
      </c>
      <c r="H4" s="43" t="s">
        <v>433</v>
      </c>
      <c r="I4" s="43" t="s">
        <v>434</v>
      </c>
      <c r="J4" s="46" t="s">
        <v>435</v>
      </c>
      <c r="L4" s="43" t="s">
        <v>437</v>
      </c>
      <c r="O4" s="43">
        <v>2015</v>
      </c>
      <c r="P4" s="43">
        <v>2013</v>
      </c>
    </row>
    <row r="5" spans="1:16" ht="24.75" x14ac:dyDescent="0.25">
      <c r="A5" s="2" t="s">
        <v>236</v>
      </c>
      <c r="B5" s="2">
        <v>1</v>
      </c>
      <c r="C5" s="2">
        <v>1</v>
      </c>
      <c r="D5" s="2">
        <v>5</v>
      </c>
      <c r="E5" s="2">
        <v>1</v>
      </c>
      <c r="F5" s="2">
        <v>1</v>
      </c>
      <c r="G5" s="2">
        <v>4</v>
      </c>
      <c r="H5" s="2">
        <v>1</v>
      </c>
      <c r="I5" s="2">
        <v>9</v>
      </c>
      <c r="J5" s="51" t="s">
        <v>152</v>
      </c>
      <c r="L5" s="43" t="s">
        <v>433</v>
      </c>
      <c r="M5" s="25">
        <v>3.3493975903614457</v>
      </c>
      <c r="O5" s="25">
        <v>3.2735849056603774</v>
      </c>
      <c r="P5" s="25">
        <v>3.796116504854369</v>
      </c>
    </row>
    <row r="6" spans="1:16" x14ac:dyDescent="0.25">
      <c r="A6" s="2" t="s">
        <v>238</v>
      </c>
      <c r="B6" s="2">
        <v>1</v>
      </c>
      <c r="C6" s="2">
        <v>1</v>
      </c>
      <c r="D6" s="2">
        <v>8</v>
      </c>
      <c r="E6" s="2">
        <v>1</v>
      </c>
      <c r="F6" s="2">
        <v>8</v>
      </c>
      <c r="G6" s="2">
        <v>10</v>
      </c>
      <c r="H6" s="2">
        <v>1</v>
      </c>
      <c r="I6" s="2">
        <v>1</v>
      </c>
      <c r="J6" s="51"/>
      <c r="L6" s="43" t="s">
        <v>430</v>
      </c>
      <c r="M6" s="25">
        <v>3.4578313253012047</v>
      </c>
      <c r="O6" s="25">
        <v>4.1037735849056602</v>
      </c>
      <c r="P6" s="25">
        <v>3.8058252427184467</v>
      </c>
    </row>
    <row r="7" spans="1:16" x14ac:dyDescent="0.25">
      <c r="A7" s="2" t="s">
        <v>238</v>
      </c>
      <c r="B7" s="2">
        <v>1</v>
      </c>
      <c r="C7" s="2">
        <v>1</v>
      </c>
      <c r="D7" s="2">
        <v>8</v>
      </c>
      <c r="E7" s="2">
        <v>1</v>
      </c>
      <c r="F7" s="2">
        <v>6</v>
      </c>
      <c r="G7" s="2">
        <v>7</v>
      </c>
      <c r="H7" s="2">
        <v>1</v>
      </c>
      <c r="I7" s="2"/>
      <c r="J7" s="51"/>
      <c r="L7" s="43" t="s">
        <v>434</v>
      </c>
      <c r="M7" s="25">
        <v>4.7692307692307692</v>
      </c>
      <c r="O7" s="25">
        <v>4.1037735849056602</v>
      </c>
      <c r="P7" s="53">
        <v>3.70873786407767</v>
      </c>
    </row>
    <row r="8" spans="1:16" x14ac:dyDescent="0.25">
      <c r="A8" s="2" t="s">
        <v>238</v>
      </c>
      <c r="B8" s="2">
        <v>2</v>
      </c>
      <c r="C8" s="2">
        <v>1</v>
      </c>
      <c r="D8" s="2">
        <v>4</v>
      </c>
      <c r="E8" s="2">
        <v>1</v>
      </c>
      <c r="F8" s="2">
        <v>10</v>
      </c>
      <c r="G8" s="2">
        <v>10</v>
      </c>
      <c r="H8" s="2">
        <v>1</v>
      </c>
      <c r="I8" s="2"/>
      <c r="J8" s="51"/>
      <c r="L8" s="43" t="s">
        <v>428</v>
      </c>
      <c r="M8" s="25">
        <v>5.5357142857142856</v>
      </c>
      <c r="O8" s="25">
        <v>5.6603773584905657</v>
      </c>
      <c r="P8" s="25">
        <v>5.592233009708738</v>
      </c>
    </row>
    <row r="9" spans="1:16" x14ac:dyDescent="0.25">
      <c r="A9" s="2" t="s">
        <v>238</v>
      </c>
      <c r="B9" s="2">
        <v>2</v>
      </c>
      <c r="C9" s="2">
        <v>2</v>
      </c>
      <c r="D9" s="2">
        <v>2</v>
      </c>
      <c r="E9" s="2">
        <v>1</v>
      </c>
      <c r="F9" s="2">
        <v>6</v>
      </c>
      <c r="G9" s="2">
        <v>9</v>
      </c>
      <c r="H9" s="2">
        <v>1</v>
      </c>
      <c r="I9" s="2">
        <v>1</v>
      </c>
      <c r="J9" s="51"/>
      <c r="L9" s="43" t="s">
        <v>431</v>
      </c>
      <c r="M9" s="25">
        <v>7.2873563218390807</v>
      </c>
      <c r="O9" s="25">
        <v>7.3207547169811322</v>
      </c>
      <c r="P9" s="25">
        <v>7.2135922330097086</v>
      </c>
    </row>
    <row r="10" spans="1:16" ht="48.75" x14ac:dyDescent="0.25">
      <c r="A10" s="2" t="s">
        <v>238</v>
      </c>
      <c r="B10" s="2">
        <v>2</v>
      </c>
      <c r="C10" s="2">
        <v>3</v>
      </c>
      <c r="D10" s="2">
        <v>7</v>
      </c>
      <c r="E10" s="2">
        <v>1</v>
      </c>
      <c r="F10" s="2">
        <v>1</v>
      </c>
      <c r="G10" s="2">
        <v>8</v>
      </c>
      <c r="H10" s="2">
        <v>1</v>
      </c>
      <c r="I10" s="2">
        <v>8</v>
      </c>
      <c r="J10" s="51" t="s">
        <v>163</v>
      </c>
      <c r="L10" s="43" t="s">
        <v>429</v>
      </c>
      <c r="M10" s="25">
        <v>7.3370786516853936</v>
      </c>
      <c r="O10" s="25">
        <v>7.5377358490566042</v>
      </c>
      <c r="P10" s="25">
        <v>7.116504854368932</v>
      </c>
    </row>
    <row r="11" spans="1:16" x14ac:dyDescent="0.25">
      <c r="A11" s="2" t="s">
        <v>236</v>
      </c>
      <c r="B11" s="2">
        <v>2</v>
      </c>
      <c r="C11" s="2">
        <v>6</v>
      </c>
      <c r="D11" s="2">
        <v>8</v>
      </c>
      <c r="E11" s="2">
        <v>2</v>
      </c>
      <c r="F11" s="2">
        <v>6</v>
      </c>
      <c r="G11" s="2">
        <v>8</v>
      </c>
      <c r="H11" s="2">
        <v>2</v>
      </c>
      <c r="I11" s="2"/>
      <c r="J11" s="51"/>
      <c r="L11" s="43" t="s">
        <v>427</v>
      </c>
      <c r="M11" s="25">
        <v>7.415730337078652</v>
      </c>
      <c r="O11" s="25">
        <v>8</v>
      </c>
      <c r="P11" s="25">
        <v>7.6213592233009706</v>
      </c>
    </row>
    <row r="12" spans="1:16" x14ac:dyDescent="0.25">
      <c r="A12" s="2" t="s">
        <v>238</v>
      </c>
      <c r="B12" s="2">
        <v>2</v>
      </c>
      <c r="C12" s="2">
        <v>8</v>
      </c>
      <c r="D12" s="2">
        <v>5</v>
      </c>
      <c r="E12" s="2">
        <v>5</v>
      </c>
      <c r="F12" s="2">
        <v>10</v>
      </c>
      <c r="G12" s="2">
        <v>2</v>
      </c>
      <c r="H12" s="2"/>
      <c r="I12" s="2">
        <v>5</v>
      </c>
      <c r="J12" s="51"/>
      <c r="L12" s="43" t="s">
        <v>432</v>
      </c>
      <c r="M12" s="25">
        <v>7.4772727272727275</v>
      </c>
      <c r="O12" s="25">
        <v>7.9622641509433958</v>
      </c>
      <c r="P12" s="25">
        <v>8.1553398058252426</v>
      </c>
    </row>
    <row r="13" spans="1:16" x14ac:dyDescent="0.25">
      <c r="A13" s="2" t="s">
        <v>238</v>
      </c>
      <c r="B13" s="2">
        <v>3</v>
      </c>
      <c r="C13" s="2">
        <v>2</v>
      </c>
      <c r="D13" s="2">
        <v>6</v>
      </c>
      <c r="E13" s="2">
        <v>1</v>
      </c>
      <c r="F13" s="2">
        <v>1</v>
      </c>
      <c r="G13" s="2">
        <v>2</v>
      </c>
      <c r="H13" s="2">
        <v>2</v>
      </c>
      <c r="I13" s="2">
        <v>2</v>
      </c>
      <c r="J13" s="51"/>
    </row>
    <row r="14" spans="1:16" x14ac:dyDescent="0.25">
      <c r="A14" s="2" t="s">
        <v>238</v>
      </c>
      <c r="B14" s="2">
        <v>4</v>
      </c>
      <c r="C14" s="2">
        <v>1</v>
      </c>
      <c r="D14" s="2">
        <v>4</v>
      </c>
      <c r="E14" s="2">
        <v>1</v>
      </c>
      <c r="F14" s="2">
        <v>5</v>
      </c>
      <c r="G14" s="2">
        <v>5</v>
      </c>
      <c r="H14" s="2">
        <v>1</v>
      </c>
      <c r="I14" s="2"/>
      <c r="J14" s="51"/>
    </row>
    <row r="15" spans="1:16" x14ac:dyDescent="0.25">
      <c r="A15" s="2" t="s">
        <v>215</v>
      </c>
      <c r="B15" s="2">
        <v>4</v>
      </c>
      <c r="C15" s="2">
        <v>4</v>
      </c>
      <c r="D15" s="2">
        <v>1</v>
      </c>
      <c r="E15" s="2">
        <v>1</v>
      </c>
      <c r="F15" s="2">
        <v>1</v>
      </c>
      <c r="G15" s="2">
        <v>4</v>
      </c>
      <c r="H15" s="2">
        <v>8</v>
      </c>
      <c r="I15" s="2"/>
      <c r="J15" s="51"/>
    </row>
    <row r="16" spans="1:16" x14ac:dyDescent="0.25">
      <c r="A16" s="2" t="s">
        <v>238</v>
      </c>
      <c r="B16" s="2">
        <v>4</v>
      </c>
      <c r="C16" s="2">
        <v>4</v>
      </c>
      <c r="D16" s="2">
        <v>5</v>
      </c>
      <c r="E16" s="2">
        <v>4</v>
      </c>
      <c r="F16" s="2">
        <v>8</v>
      </c>
      <c r="G16" s="2">
        <v>9</v>
      </c>
      <c r="H16" s="2">
        <v>8</v>
      </c>
      <c r="I16" s="2"/>
      <c r="J16" s="51"/>
    </row>
    <row r="17" spans="1:12" x14ac:dyDescent="0.25">
      <c r="A17" s="2" t="s">
        <v>238</v>
      </c>
      <c r="B17" s="2">
        <v>4</v>
      </c>
      <c r="C17" s="2">
        <v>5</v>
      </c>
      <c r="D17" s="2">
        <v>6</v>
      </c>
      <c r="E17" s="2">
        <v>1</v>
      </c>
      <c r="F17" s="2">
        <v>8</v>
      </c>
      <c r="G17" s="2">
        <v>9</v>
      </c>
      <c r="H17" s="2">
        <v>5</v>
      </c>
      <c r="I17" s="2"/>
      <c r="J17" s="51"/>
    </row>
    <row r="18" spans="1:12" x14ac:dyDescent="0.25">
      <c r="A18" s="2" t="s">
        <v>236</v>
      </c>
      <c r="B18" s="2">
        <v>4</v>
      </c>
      <c r="C18" s="2">
        <v>10</v>
      </c>
      <c r="D18" s="2">
        <v>3</v>
      </c>
      <c r="E18" s="2">
        <v>1</v>
      </c>
      <c r="F18" s="2">
        <v>5</v>
      </c>
      <c r="G18" s="2">
        <v>7</v>
      </c>
      <c r="H18" s="2">
        <v>1</v>
      </c>
      <c r="I18" s="2"/>
      <c r="J18" s="51"/>
    </row>
    <row r="19" spans="1:12" x14ac:dyDescent="0.25">
      <c r="A19" s="2" t="s">
        <v>236</v>
      </c>
      <c r="B19" s="2">
        <v>5</v>
      </c>
      <c r="C19" s="2">
        <v>1</v>
      </c>
      <c r="D19" s="2">
        <v>5</v>
      </c>
      <c r="E19" s="2"/>
      <c r="F19" s="2">
        <v>9</v>
      </c>
      <c r="G19" s="2">
        <v>9</v>
      </c>
      <c r="H19" s="2">
        <v>1</v>
      </c>
      <c r="I19" s="2"/>
      <c r="J19" s="51"/>
    </row>
    <row r="20" spans="1:12" x14ac:dyDescent="0.25">
      <c r="A20" s="2" t="s">
        <v>238</v>
      </c>
      <c r="B20" s="2">
        <v>5</v>
      </c>
      <c r="C20" s="2">
        <v>5</v>
      </c>
      <c r="D20" s="2">
        <v>6</v>
      </c>
      <c r="E20" s="2">
        <v>6</v>
      </c>
      <c r="F20" s="2">
        <v>8</v>
      </c>
      <c r="G20" s="2">
        <v>8</v>
      </c>
      <c r="H20" s="2">
        <v>2</v>
      </c>
      <c r="I20" s="2">
        <v>6</v>
      </c>
      <c r="J20" s="51"/>
    </row>
    <row r="21" spans="1:12" x14ac:dyDescent="0.25">
      <c r="A21" s="2" t="s">
        <v>236</v>
      </c>
      <c r="B21" s="2">
        <v>5</v>
      </c>
      <c r="C21" s="2">
        <v>5</v>
      </c>
      <c r="D21" s="2">
        <v>5</v>
      </c>
      <c r="E21" s="2">
        <v>1</v>
      </c>
      <c r="F21" s="2">
        <v>9</v>
      </c>
      <c r="G21" s="2">
        <v>9</v>
      </c>
      <c r="H21" s="2">
        <v>1</v>
      </c>
      <c r="I21" s="2"/>
      <c r="J21" s="51"/>
    </row>
    <row r="22" spans="1:12" x14ac:dyDescent="0.25">
      <c r="A22" s="2" t="s">
        <v>238</v>
      </c>
      <c r="B22" s="2">
        <v>5</v>
      </c>
      <c r="C22" s="2">
        <v>7</v>
      </c>
      <c r="D22" s="2">
        <v>8</v>
      </c>
      <c r="E22" s="2">
        <v>3</v>
      </c>
      <c r="F22" s="2">
        <v>4</v>
      </c>
      <c r="G22" s="2">
        <v>5</v>
      </c>
      <c r="H22" s="2">
        <v>3</v>
      </c>
      <c r="I22" s="2">
        <v>1</v>
      </c>
      <c r="J22" s="51"/>
    </row>
    <row r="23" spans="1:12" x14ac:dyDescent="0.25">
      <c r="A23" s="2" t="s">
        <v>238</v>
      </c>
      <c r="B23" s="2">
        <v>5</v>
      </c>
      <c r="C23" s="2">
        <v>7</v>
      </c>
      <c r="D23" s="2">
        <v>4</v>
      </c>
      <c r="E23" s="2">
        <v>2</v>
      </c>
      <c r="F23" s="2">
        <v>3</v>
      </c>
      <c r="G23" s="2">
        <v>10</v>
      </c>
      <c r="H23" s="2">
        <v>2</v>
      </c>
      <c r="I23" s="2">
        <v>2</v>
      </c>
      <c r="J23" s="51"/>
    </row>
    <row r="24" spans="1:12" x14ac:dyDescent="0.25">
      <c r="A24" s="2" t="s">
        <v>236</v>
      </c>
      <c r="B24" s="2">
        <v>5</v>
      </c>
      <c r="C24" s="2">
        <v>8</v>
      </c>
      <c r="D24" s="2">
        <v>5</v>
      </c>
      <c r="E24" s="2">
        <v>3</v>
      </c>
      <c r="F24" s="2">
        <v>9</v>
      </c>
      <c r="G24" s="2">
        <v>9</v>
      </c>
      <c r="H24" s="2">
        <v>2</v>
      </c>
      <c r="I24" s="2"/>
      <c r="J24" s="51"/>
    </row>
    <row r="25" spans="1:12" x14ac:dyDescent="0.25">
      <c r="A25" s="2" t="s">
        <v>238</v>
      </c>
      <c r="B25" s="2">
        <v>5</v>
      </c>
      <c r="C25" s="2"/>
      <c r="D25" s="2">
        <v>10</v>
      </c>
      <c r="E25" s="2">
        <v>7</v>
      </c>
      <c r="F25" s="2">
        <v>10</v>
      </c>
      <c r="G25" s="2">
        <v>10</v>
      </c>
      <c r="H25" s="2">
        <v>1</v>
      </c>
      <c r="I25" s="2"/>
      <c r="J25" s="51"/>
    </row>
    <row r="26" spans="1:12" x14ac:dyDescent="0.25">
      <c r="A26" s="2" t="s">
        <v>238</v>
      </c>
      <c r="B26" s="2">
        <v>6</v>
      </c>
      <c r="C26" s="2">
        <v>6</v>
      </c>
      <c r="D26" s="2">
        <v>8</v>
      </c>
      <c r="E26" s="2">
        <v>4</v>
      </c>
      <c r="F26" s="2">
        <v>7</v>
      </c>
      <c r="G26" s="2">
        <v>8</v>
      </c>
      <c r="H26" s="2">
        <v>4</v>
      </c>
      <c r="I26" s="2">
        <v>5</v>
      </c>
      <c r="J26" s="51"/>
    </row>
    <row r="27" spans="1:12" x14ac:dyDescent="0.25">
      <c r="A27" s="2" t="s">
        <v>238</v>
      </c>
      <c r="B27" s="2">
        <v>6</v>
      </c>
      <c r="C27" s="2">
        <v>6</v>
      </c>
      <c r="D27" s="2">
        <v>7</v>
      </c>
      <c r="E27" s="2">
        <v>7</v>
      </c>
      <c r="F27" s="2">
        <v>8</v>
      </c>
      <c r="G27" s="2">
        <v>8</v>
      </c>
      <c r="H27" s="2">
        <v>5</v>
      </c>
      <c r="I27" s="2"/>
      <c r="J27" s="51"/>
    </row>
    <row r="28" spans="1:12" x14ac:dyDescent="0.25">
      <c r="A28" s="2" t="s">
        <v>238</v>
      </c>
      <c r="B28" s="2">
        <v>6</v>
      </c>
      <c r="C28" s="2">
        <v>7</v>
      </c>
      <c r="D28" s="2">
        <v>8</v>
      </c>
      <c r="E28" s="2">
        <v>4</v>
      </c>
      <c r="F28" s="2">
        <v>8</v>
      </c>
      <c r="G28" s="2">
        <v>5</v>
      </c>
      <c r="H28" s="2">
        <v>1</v>
      </c>
      <c r="I28" s="2"/>
      <c r="J28" s="51"/>
    </row>
    <row r="29" spans="1:12" x14ac:dyDescent="0.25">
      <c r="A29" s="2" t="s">
        <v>238</v>
      </c>
      <c r="B29" s="2">
        <v>6</v>
      </c>
      <c r="C29" s="2">
        <v>8</v>
      </c>
      <c r="D29" s="2">
        <v>8</v>
      </c>
      <c r="E29" s="2">
        <v>1</v>
      </c>
      <c r="F29" s="2">
        <v>8</v>
      </c>
      <c r="G29" s="2">
        <v>4</v>
      </c>
      <c r="H29" s="2">
        <v>2</v>
      </c>
      <c r="I29" s="2"/>
      <c r="J29" s="51"/>
    </row>
    <row r="30" spans="1:12" x14ac:dyDescent="0.25">
      <c r="A30" s="2" t="s">
        <v>238</v>
      </c>
      <c r="B30" s="2">
        <v>7</v>
      </c>
      <c r="C30" s="2">
        <v>3</v>
      </c>
      <c r="D30" s="2">
        <v>7</v>
      </c>
      <c r="E30" s="2">
        <v>1</v>
      </c>
      <c r="F30" s="2">
        <v>8</v>
      </c>
      <c r="G30" s="2">
        <v>6</v>
      </c>
      <c r="H30" s="2">
        <v>4</v>
      </c>
      <c r="I30" s="2">
        <v>1</v>
      </c>
      <c r="J30" s="51"/>
    </row>
    <row r="31" spans="1:12" ht="84.75" x14ac:dyDescent="0.25">
      <c r="A31" s="2" t="s">
        <v>236</v>
      </c>
      <c r="B31" s="2">
        <v>7</v>
      </c>
      <c r="C31" s="2">
        <v>4</v>
      </c>
      <c r="D31" s="2">
        <v>2</v>
      </c>
      <c r="E31" s="2">
        <v>8</v>
      </c>
      <c r="F31" s="2"/>
      <c r="G31" s="2">
        <v>8</v>
      </c>
      <c r="H31" s="2">
        <v>1</v>
      </c>
      <c r="I31" s="2"/>
      <c r="J31" s="51" t="s">
        <v>156</v>
      </c>
    </row>
    <row r="32" spans="1:12" x14ac:dyDescent="0.25">
      <c r="A32" s="2" t="s">
        <v>238</v>
      </c>
      <c r="B32" s="2">
        <v>7</v>
      </c>
      <c r="C32" s="2">
        <v>6</v>
      </c>
      <c r="D32" s="2">
        <v>8</v>
      </c>
      <c r="E32" s="2">
        <v>4</v>
      </c>
      <c r="F32" s="2">
        <v>7</v>
      </c>
      <c r="G32" s="2">
        <v>5</v>
      </c>
      <c r="H32" s="2">
        <v>1</v>
      </c>
      <c r="I32" s="2"/>
      <c r="J32" s="51"/>
      <c r="L32" s="15" t="s">
        <v>438</v>
      </c>
    </row>
    <row r="33" spans="1:12" x14ac:dyDescent="0.25">
      <c r="A33" s="2" t="s">
        <v>236</v>
      </c>
      <c r="B33" s="2">
        <v>7</v>
      </c>
      <c r="C33" s="2">
        <v>6</v>
      </c>
      <c r="D33" s="2">
        <v>9</v>
      </c>
      <c r="E33" s="2">
        <v>8</v>
      </c>
      <c r="F33" s="2">
        <v>8</v>
      </c>
      <c r="G33" s="2">
        <v>6</v>
      </c>
      <c r="H33" s="2">
        <v>1</v>
      </c>
      <c r="I33" s="2"/>
      <c r="J33" s="51"/>
      <c r="L33" s="43" t="s">
        <v>150</v>
      </c>
    </row>
    <row r="34" spans="1:12" x14ac:dyDescent="0.25">
      <c r="A34" s="3" t="s">
        <v>238</v>
      </c>
      <c r="B34" s="3">
        <v>7</v>
      </c>
      <c r="C34" s="3">
        <v>6</v>
      </c>
      <c r="D34" s="3">
        <v>7</v>
      </c>
      <c r="E34" s="3">
        <v>1</v>
      </c>
      <c r="F34" s="3">
        <v>8</v>
      </c>
      <c r="G34" s="3">
        <v>7</v>
      </c>
      <c r="H34" s="3">
        <v>3</v>
      </c>
      <c r="I34" s="3"/>
      <c r="J34" s="52"/>
      <c r="L34" s="43" t="s">
        <v>160</v>
      </c>
    </row>
    <row r="35" spans="1:12" x14ac:dyDescent="0.25">
      <c r="A35" s="2" t="s">
        <v>238</v>
      </c>
      <c r="B35" s="2">
        <v>7</v>
      </c>
      <c r="C35" s="2">
        <v>7</v>
      </c>
      <c r="D35" s="2">
        <v>7</v>
      </c>
      <c r="E35" s="2">
        <v>8</v>
      </c>
      <c r="F35" s="2">
        <v>7</v>
      </c>
      <c r="G35" s="2">
        <v>9</v>
      </c>
      <c r="H35" s="2">
        <v>7</v>
      </c>
      <c r="I35" s="2"/>
      <c r="J35" s="51"/>
      <c r="L35" s="43" t="s">
        <v>155</v>
      </c>
    </row>
    <row r="36" spans="1:12" x14ac:dyDescent="0.25">
      <c r="A36" s="2" t="s">
        <v>236</v>
      </c>
      <c r="B36" s="2">
        <v>7</v>
      </c>
      <c r="C36" s="2">
        <v>7</v>
      </c>
      <c r="D36" s="2">
        <v>7</v>
      </c>
      <c r="E36" s="2"/>
      <c r="F36" s="2">
        <v>7</v>
      </c>
      <c r="G36" s="2">
        <v>7</v>
      </c>
      <c r="H36" s="2"/>
      <c r="I36" s="2"/>
      <c r="J36" s="51"/>
      <c r="L36" s="43" t="s">
        <v>128</v>
      </c>
    </row>
    <row r="37" spans="1:12" ht="60.75" x14ac:dyDescent="0.25">
      <c r="A37" s="2" t="s">
        <v>238</v>
      </c>
      <c r="B37" s="2">
        <v>8</v>
      </c>
      <c r="C37" s="2">
        <v>1</v>
      </c>
      <c r="D37" s="2">
        <v>8</v>
      </c>
      <c r="E37" s="2">
        <v>3</v>
      </c>
      <c r="F37" s="2">
        <v>8</v>
      </c>
      <c r="G37" s="2">
        <v>6</v>
      </c>
      <c r="H37" s="2">
        <v>3</v>
      </c>
      <c r="I37" s="2">
        <v>6</v>
      </c>
      <c r="J37" s="51" t="s">
        <v>137</v>
      </c>
      <c r="L37" s="43" t="s">
        <v>152</v>
      </c>
    </row>
    <row r="38" spans="1:12" ht="48.75" x14ac:dyDescent="0.25">
      <c r="A38" s="2" t="s">
        <v>238</v>
      </c>
      <c r="B38" s="2">
        <v>8</v>
      </c>
      <c r="C38" s="2">
        <v>3</v>
      </c>
      <c r="D38" s="2">
        <v>7</v>
      </c>
      <c r="E38" s="2">
        <v>3</v>
      </c>
      <c r="F38" s="2">
        <v>8</v>
      </c>
      <c r="G38" s="2">
        <v>6</v>
      </c>
      <c r="H38" s="2">
        <v>5</v>
      </c>
      <c r="I38" s="2">
        <v>9</v>
      </c>
      <c r="J38" s="51" t="s">
        <v>155</v>
      </c>
      <c r="L38" s="43" t="s">
        <v>138</v>
      </c>
    </row>
    <row r="39" spans="1:12" x14ac:dyDescent="0.25">
      <c r="A39" s="2" t="s">
        <v>238</v>
      </c>
      <c r="B39" s="2">
        <v>8</v>
      </c>
      <c r="C39" s="2">
        <v>3</v>
      </c>
      <c r="D39" s="2">
        <v>8</v>
      </c>
      <c r="E39" s="2">
        <v>3</v>
      </c>
      <c r="F39" s="2">
        <v>8</v>
      </c>
      <c r="G39" s="2">
        <v>8</v>
      </c>
      <c r="H39" s="2">
        <v>3</v>
      </c>
      <c r="I39" s="2"/>
      <c r="J39" s="51"/>
      <c r="L39" s="43" t="s">
        <v>135</v>
      </c>
    </row>
    <row r="40" spans="1:12" ht="48.75" x14ac:dyDescent="0.25">
      <c r="A40" s="2" t="s">
        <v>236</v>
      </c>
      <c r="B40" s="2">
        <v>8</v>
      </c>
      <c r="C40" s="2">
        <v>4</v>
      </c>
      <c r="D40" s="2">
        <v>8</v>
      </c>
      <c r="E40" s="2">
        <v>4</v>
      </c>
      <c r="F40" s="2">
        <v>5</v>
      </c>
      <c r="G40" s="2">
        <v>8</v>
      </c>
      <c r="H40" s="2">
        <v>4</v>
      </c>
      <c r="I40" s="2">
        <v>8</v>
      </c>
      <c r="J40" s="51" t="s">
        <v>162</v>
      </c>
      <c r="L40" s="43" t="s">
        <v>124</v>
      </c>
    </row>
    <row r="41" spans="1:12" x14ac:dyDescent="0.25">
      <c r="A41" s="2" t="s">
        <v>238</v>
      </c>
      <c r="B41" s="2">
        <v>8</v>
      </c>
      <c r="C41" s="2">
        <v>5</v>
      </c>
      <c r="D41" s="2">
        <v>10</v>
      </c>
      <c r="E41" s="2">
        <v>5</v>
      </c>
      <c r="F41" s="2">
        <v>8</v>
      </c>
      <c r="G41" s="2">
        <v>2</v>
      </c>
      <c r="H41" s="2">
        <v>1</v>
      </c>
      <c r="I41" s="2"/>
      <c r="J41" s="51"/>
      <c r="L41" s="43" t="s">
        <v>162</v>
      </c>
    </row>
    <row r="42" spans="1:12" x14ac:dyDescent="0.25">
      <c r="A42" s="2" t="s">
        <v>238</v>
      </c>
      <c r="B42" s="2">
        <v>8</v>
      </c>
      <c r="C42" s="2">
        <v>6</v>
      </c>
      <c r="D42" s="2">
        <v>7</v>
      </c>
      <c r="E42" s="2">
        <v>7</v>
      </c>
      <c r="F42" s="2">
        <v>7</v>
      </c>
      <c r="G42" s="2">
        <v>8</v>
      </c>
      <c r="H42" s="2">
        <v>5</v>
      </c>
      <c r="I42" s="2"/>
      <c r="J42" s="51"/>
      <c r="L42" s="43" t="s">
        <v>132</v>
      </c>
    </row>
    <row r="43" spans="1:12" x14ac:dyDescent="0.25">
      <c r="A43" s="2" t="s">
        <v>237</v>
      </c>
      <c r="B43" s="2">
        <v>8</v>
      </c>
      <c r="C43" s="2">
        <v>7</v>
      </c>
      <c r="D43" s="2">
        <v>8</v>
      </c>
      <c r="E43" s="2">
        <v>1</v>
      </c>
      <c r="F43" s="2">
        <v>1</v>
      </c>
      <c r="G43" s="2">
        <v>6</v>
      </c>
      <c r="H43" s="2">
        <v>1</v>
      </c>
      <c r="I43" s="2"/>
      <c r="J43" s="51"/>
      <c r="L43" s="43" t="s">
        <v>137</v>
      </c>
    </row>
    <row r="44" spans="1:12" x14ac:dyDescent="0.25">
      <c r="A44" s="2" t="s">
        <v>238</v>
      </c>
      <c r="B44" s="2">
        <v>8</v>
      </c>
      <c r="C44" s="2">
        <v>7</v>
      </c>
      <c r="D44" s="2">
        <v>8</v>
      </c>
      <c r="E44" s="2">
        <v>7</v>
      </c>
      <c r="F44" s="2">
        <v>8</v>
      </c>
      <c r="G44" s="2">
        <v>8</v>
      </c>
      <c r="H44" s="2">
        <v>1</v>
      </c>
      <c r="I44" s="2"/>
      <c r="J44" s="51"/>
      <c r="L44" s="43" t="s">
        <v>156</v>
      </c>
    </row>
    <row r="45" spans="1:12" x14ac:dyDescent="0.25">
      <c r="A45" s="2" t="s">
        <v>236</v>
      </c>
      <c r="B45" s="2">
        <v>8</v>
      </c>
      <c r="C45" s="2">
        <v>7</v>
      </c>
      <c r="D45" s="2">
        <v>7</v>
      </c>
      <c r="E45" s="2">
        <v>5</v>
      </c>
      <c r="F45" s="2">
        <v>8</v>
      </c>
      <c r="G45" s="2">
        <v>8</v>
      </c>
      <c r="H45" s="2">
        <v>5</v>
      </c>
      <c r="I45" s="2"/>
      <c r="J45" s="51"/>
      <c r="L45" s="43" t="s">
        <v>163</v>
      </c>
    </row>
    <row r="46" spans="1:12" x14ac:dyDescent="0.25">
      <c r="A46" s="2" t="s">
        <v>238</v>
      </c>
      <c r="B46" s="2">
        <v>8</v>
      </c>
      <c r="C46" s="2">
        <v>7</v>
      </c>
      <c r="D46" s="2">
        <v>7</v>
      </c>
      <c r="E46" s="2">
        <v>6</v>
      </c>
      <c r="F46" s="2">
        <v>8</v>
      </c>
      <c r="G46" s="2">
        <v>9</v>
      </c>
      <c r="H46" s="2">
        <v>7</v>
      </c>
      <c r="I46" s="2"/>
      <c r="J46" s="51"/>
      <c r="L46" s="43" t="s">
        <v>436</v>
      </c>
    </row>
    <row r="47" spans="1:12" x14ac:dyDescent="0.25">
      <c r="A47" s="2" t="s">
        <v>238</v>
      </c>
      <c r="B47" s="2">
        <v>8</v>
      </c>
      <c r="C47" s="2">
        <v>7</v>
      </c>
      <c r="D47" s="2">
        <v>8</v>
      </c>
      <c r="E47" s="2">
        <v>7</v>
      </c>
      <c r="F47" s="2">
        <v>8</v>
      </c>
      <c r="G47" s="2">
        <v>7</v>
      </c>
      <c r="H47" s="2">
        <v>7</v>
      </c>
      <c r="I47" s="2"/>
      <c r="J47" s="51"/>
    </row>
    <row r="48" spans="1:12" x14ac:dyDescent="0.25">
      <c r="A48" s="2" t="s">
        <v>215</v>
      </c>
      <c r="B48" s="2">
        <v>8</v>
      </c>
      <c r="C48" s="2">
        <v>7</v>
      </c>
      <c r="D48" s="2">
        <v>8</v>
      </c>
      <c r="E48" s="2">
        <v>1</v>
      </c>
      <c r="F48" s="2">
        <v>8</v>
      </c>
      <c r="G48" s="2"/>
      <c r="H48" s="2"/>
      <c r="I48" s="2"/>
      <c r="J48" s="51"/>
    </row>
    <row r="49" spans="1:10" ht="108.75" x14ac:dyDescent="0.25">
      <c r="A49" s="2" t="s">
        <v>238</v>
      </c>
      <c r="B49" s="2">
        <v>8</v>
      </c>
      <c r="C49" s="2">
        <v>8</v>
      </c>
      <c r="D49" s="2">
        <v>8</v>
      </c>
      <c r="E49" s="2">
        <v>2</v>
      </c>
      <c r="F49" s="2">
        <v>7</v>
      </c>
      <c r="G49" s="2">
        <v>7</v>
      </c>
      <c r="H49" s="2">
        <v>8</v>
      </c>
      <c r="I49" s="2"/>
      <c r="J49" s="51" t="s">
        <v>150</v>
      </c>
    </row>
    <row r="50" spans="1:10" ht="36.75" x14ac:dyDescent="0.25">
      <c r="A50" s="2" t="s">
        <v>238</v>
      </c>
      <c r="B50" s="2">
        <v>8</v>
      </c>
      <c r="C50" s="2">
        <v>8</v>
      </c>
      <c r="D50" s="2">
        <v>5</v>
      </c>
      <c r="E50" s="2">
        <v>1</v>
      </c>
      <c r="F50" s="2">
        <v>7</v>
      </c>
      <c r="G50" s="2">
        <v>8</v>
      </c>
      <c r="H50" s="2">
        <v>7</v>
      </c>
      <c r="I50" s="2">
        <v>8</v>
      </c>
      <c r="J50" s="51" t="s">
        <v>124</v>
      </c>
    </row>
    <row r="51" spans="1:10" x14ac:dyDescent="0.25">
      <c r="A51" s="2" t="s">
        <v>236</v>
      </c>
      <c r="B51" s="2">
        <v>8</v>
      </c>
      <c r="C51" s="2">
        <v>8</v>
      </c>
      <c r="D51" s="2">
        <v>8</v>
      </c>
      <c r="E51" s="2">
        <v>5</v>
      </c>
      <c r="F51" s="2">
        <v>10</v>
      </c>
      <c r="G51" s="2">
        <v>10</v>
      </c>
      <c r="H51" s="2">
        <v>1</v>
      </c>
      <c r="I51" s="2"/>
      <c r="J51" s="51"/>
    </row>
    <row r="52" spans="1:10" x14ac:dyDescent="0.25">
      <c r="A52" s="2" t="s">
        <v>236</v>
      </c>
      <c r="B52" s="2">
        <v>8</v>
      </c>
      <c r="C52" s="2">
        <v>8</v>
      </c>
      <c r="D52" s="2">
        <v>8</v>
      </c>
      <c r="E52" s="2">
        <v>8</v>
      </c>
      <c r="F52" s="2">
        <v>8</v>
      </c>
      <c r="G52" s="2">
        <v>9</v>
      </c>
      <c r="H52" s="2">
        <v>2</v>
      </c>
      <c r="I52" s="2"/>
      <c r="J52" s="51"/>
    </row>
    <row r="53" spans="1:10" x14ac:dyDescent="0.25">
      <c r="A53" s="2" t="s">
        <v>236</v>
      </c>
      <c r="B53" s="2">
        <v>8</v>
      </c>
      <c r="C53" s="2">
        <v>8</v>
      </c>
      <c r="D53" s="2">
        <v>8</v>
      </c>
      <c r="E53" s="2">
        <v>4</v>
      </c>
      <c r="F53" s="2">
        <v>8</v>
      </c>
      <c r="G53" s="2">
        <v>10</v>
      </c>
      <c r="H53" s="2">
        <v>3</v>
      </c>
      <c r="I53" s="2"/>
      <c r="J53" s="51"/>
    </row>
    <row r="54" spans="1:10" x14ac:dyDescent="0.25">
      <c r="A54" s="2" t="s">
        <v>236</v>
      </c>
      <c r="B54" s="2">
        <v>8</v>
      </c>
      <c r="C54" s="2">
        <v>8</v>
      </c>
      <c r="D54" s="2">
        <v>7</v>
      </c>
      <c r="E54" s="2">
        <v>8</v>
      </c>
      <c r="F54" s="2">
        <v>8</v>
      </c>
      <c r="G54" s="2">
        <v>4</v>
      </c>
      <c r="H54" s="2">
        <v>4</v>
      </c>
      <c r="I54" s="2"/>
      <c r="J54" s="51"/>
    </row>
    <row r="55" spans="1:10" x14ac:dyDescent="0.25">
      <c r="A55" s="2" t="s">
        <v>215</v>
      </c>
      <c r="B55" s="2">
        <v>8</v>
      </c>
      <c r="C55" s="2">
        <v>10</v>
      </c>
      <c r="D55" s="2">
        <v>10</v>
      </c>
      <c r="E55" s="2">
        <v>5</v>
      </c>
      <c r="F55" s="2">
        <v>10</v>
      </c>
      <c r="G55" s="2">
        <v>8</v>
      </c>
      <c r="H55" s="2">
        <v>1</v>
      </c>
      <c r="I55" s="2">
        <v>5</v>
      </c>
      <c r="J55" s="51"/>
    </row>
    <row r="56" spans="1:10" x14ac:dyDescent="0.25">
      <c r="A56" s="2" t="s">
        <v>238</v>
      </c>
      <c r="B56" s="2">
        <v>8</v>
      </c>
      <c r="C56" s="2"/>
      <c r="D56" s="2">
        <v>7</v>
      </c>
      <c r="E56" s="2"/>
      <c r="F56" s="2">
        <v>9</v>
      </c>
      <c r="G56" s="2">
        <v>7</v>
      </c>
      <c r="H56" s="2">
        <v>9</v>
      </c>
      <c r="I56" s="2"/>
      <c r="J56" s="51"/>
    </row>
    <row r="57" spans="1:10" x14ac:dyDescent="0.25">
      <c r="A57" s="2" t="s">
        <v>238</v>
      </c>
      <c r="B57" s="2">
        <v>8</v>
      </c>
      <c r="C57" s="2"/>
      <c r="D57" s="2">
        <v>8</v>
      </c>
      <c r="E57" s="2"/>
      <c r="F57" s="2">
        <v>8</v>
      </c>
      <c r="G57" s="2">
        <v>8</v>
      </c>
      <c r="H57" s="2"/>
      <c r="I57" s="2"/>
      <c r="J57" s="51"/>
    </row>
    <row r="58" spans="1:10" ht="72.75" x14ac:dyDescent="0.25">
      <c r="A58" s="2" t="s">
        <v>236</v>
      </c>
      <c r="B58" s="2">
        <v>9</v>
      </c>
      <c r="C58" s="2">
        <v>1</v>
      </c>
      <c r="D58" s="2">
        <v>7</v>
      </c>
      <c r="E58" s="2">
        <v>7</v>
      </c>
      <c r="F58" s="2">
        <v>10</v>
      </c>
      <c r="G58" s="2">
        <v>10</v>
      </c>
      <c r="H58" s="2">
        <v>1</v>
      </c>
      <c r="I58" s="2">
        <v>9</v>
      </c>
      <c r="J58" s="51" t="s">
        <v>160</v>
      </c>
    </row>
    <row r="59" spans="1:10" x14ac:dyDescent="0.25">
      <c r="A59" s="2" t="s">
        <v>238</v>
      </c>
      <c r="B59" s="2">
        <v>9</v>
      </c>
      <c r="C59" s="2">
        <v>2</v>
      </c>
      <c r="D59" s="2">
        <v>9</v>
      </c>
      <c r="E59" s="2">
        <v>2</v>
      </c>
      <c r="F59" s="2">
        <v>5</v>
      </c>
      <c r="G59" s="2">
        <v>7</v>
      </c>
      <c r="H59" s="2">
        <v>1</v>
      </c>
      <c r="I59" s="2"/>
      <c r="J59" s="51"/>
    </row>
    <row r="60" spans="1:10" x14ac:dyDescent="0.25">
      <c r="A60" s="2" t="s">
        <v>238</v>
      </c>
      <c r="B60" s="2">
        <v>9</v>
      </c>
      <c r="C60" s="2">
        <v>4</v>
      </c>
      <c r="D60" s="2">
        <v>7</v>
      </c>
      <c r="E60" s="2">
        <v>1</v>
      </c>
      <c r="F60" s="2">
        <v>8</v>
      </c>
      <c r="G60" s="2">
        <v>5</v>
      </c>
      <c r="H60" s="2">
        <v>4</v>
      </c>
      <c r="I60" s="2"/>
      <c r="J60" s="51"/>
    </row>
    <row r="61" spans="1:10" x14ac:dyDescent="0.25">
      <c r="A61" s="2" t="s">
        <v>236</v>
      </c>
      <c r="B61" s="3">
        <v>9</v>
      </c>
      <c r="C61" s="3">
        <v>5</v>
      </c>
      <c r="D61" s="3">
        <v>8</v>
      </c>
      <c r="E61" s="3">
        <v>3</v>
      </c>
      <c r="F61" s="3">
        <v>8</v>
      </c>
      <c r="G61" s="3">
        <v>8</v>
      </c>
      <c r="H61" s="3">
        <v>1</v>
      </c>
      <c r="I61" s="3"/>
      <c r="J61" s="52"/>
    </row>
    <row r="62" spans="1:10" x14ac:dyDescent="0.25">
      <c r="A62" s="2" t="s">
        <v>236</v>
      </c>
      <c r="B62" s="3">
        <v>9</v>
      </c>
      <c r="C62" s="3">
        <v>5</v>
      </c>
      <c r="D62" s="3">
        <v>9</v>
      </c>
      <c r="E62" s="3">
        <v>1</v>
      </c>
      <c r="F62" s="3">
        <v>9</v>
      </c>
      <c r="G62" s="3">
        <v>5</v>
      </c>
      <c r="H62" s="3">
        <v>1</v>
      </c>
      <c r="I62" s="3"/>
      <c r="J62" s="52"/>
    </row>
    <row r="63" spans="1:10" x14ac:dyDescent="0.25">
      <c r="A63" s="2" t="s">
        <v>238</v>
      </c>
      <c r="B63" s="2">
        <v>9</v>
      </c>
      <c r="C63" s="2">
        <v>5</v>
      </c>
      <c r="D63" s="2">
        <v>9</v>
      </c>
      <c r="E63" s="2">
        <v>7</v>
      </c>
      <c r="F63" s="2">
        <v>5</v>
      </c>
      <c r="G63" s="2">
        <v>8</v>
      </c>
      <c r="H63" s="2">
        <v>8</v>
      </c>
      <c r="I63" s="2"/>
      <c r="J63" s="51"/>
    </row>
    <row r="64" spans="1:10" x14ac:dyDescent="0.25">
      <c r="A64" s="2" t="s">
        <v>236</v>
      </c>
      <c r="B64" s="2">
        <v>9</v>
      </c>
      <c r="C64" s="2">
        <v>7</v>
      </c>
      <c r="D64" s="2">
        <v>8</v>
      </c>
      <c r="E64" s="2">
        <v>4</v>
      </c>
      <c r="F64" s="2">
        <v>7</v>
      </c>
      <c r="G64" s="2">
        <v>9</v>
      </c>
      <c r="H64" s="2">
        <v>3</v>
      </c>
      <c r="I64" s="2"/>
      <c r="J64" s="51"/>
    </row>
    <row r="65" spans="1:10" x14ac:dyDescent="0.25">
      <c r="A65" s="2" t="s">
        <v>215</v>
      </c>
      <c r="B65" s="2">
        <v>9</v>
      </c>
      <c r="C65" s="2">
        <v>7</v>
      </c>
      <c r="D65" s="2">
        <v>5</v>
      </c>
      <c r="E65" s="2"/>
      <c r="F65" s="2">
        <v>9</v>
      </c>
      <c r="G65" s="2">
        <v>7</v>
      </c>
      <c r="H65" s="2">
        <v>8</v>
      </c>
      <c r="I65" s="2"/>
      <c r="J65" s="51"/>
    </row>
    <row r="66" spans="1:10" ht="24.75" x14ac:dyDescent="0.25">
      <c r="A66" s="2" t="s">
        <v>236</v>
      </c>
      <c r="B66" s="2">
        <v>9</v>
      </c>
      <c r="C66" s="2">
        <v>8</v>
      </c>
      <c r="D66" s="2">
        <v>8</v>
      </c>
      <c r="E66" s="2">
        <v>1</v>
      </c>
      <c r="F66" s="2">
        <v>7</v>
      </c>
      <c r="G66" s="2">
        <v>10</v>
      </c>
      <c r="H66" s="2">
        <v>1</v>
      </c>
      <c r="I66" s="2">
        <v>8</v>
      </c>
      <c r="J66" s="51" t="s">
        <v>138</v>
      </c>
    </row>
    <row r="67" spans="1:10" x14ac:dyDescent="0.25">
      <c r="A67" s="2" t="s">
        <v>238</v>
      </c>
      <c r="B67" s="2">
        <v>9</v>
      </c>
      <c r="C67" s="2">
        <v>9</v>
      </c>
      <c r="D67" s="2">
        <v>9</v>
      </c>
      <c r="E67" s="2">
        <v>5</v>
      </c>
      <c r="F67" s="2">
        <v>9</v>
      </c>
      <c r="G67" s="2">
        <v>9</v>
      </c>
      <c r="H67" s="2">
        <v>5</v>
      </c>
      <c r="I67" s="2">
        <v>5</v>
      </c>
      <c r="J67" s="51"/>
    </row>
    <row r="68" spans="1:10" x14ac:dyDescent="0.25">
      <c r="A68" s="2" t="s">
        <v>215</v>
      </c>
      <c r="B68" s="2">
        <v>9</v>
      </c>
      <c r="C68" s="2">
        <v>9</v>
      </c>
      <c r="D68" s="2">
        <v>6</v>
      </c>
      <c r="E68" s="2">
        <v>1</v>
      </c>
      <c r="F68" s="2">
        <v>2</v>
      </c>
      <c r="G68" s="2">
        <v>9</v>
      </c>
      <c r="H68" s="2">
        <v>1</v>
      </c>
      <c r="I68" s="2"/>
      <c r="J68" s="51"/>
    </row>
    <row r="69" spans="1:10" x14ac:dyDescent="0.25">
      <c r="A69" s="2" t="s">
        <v>238</v>
      </c>
      <c r="B69" s="2">
        <v>9</v>
      </c>
      <c r="C69" s="2"/>
      <c r="D69" s="2">
        <v>8</v>
      </c>
      <c r="E69" s="2">
        <v>8</v>
      </c>
      <c r="F69" s="2"/>
      <c r="G69" s="2">
        <v>9</v>
      </c>
      <c r="H69" s="2">
        <v>6</v>
      </c>
      <c r="I69" s="2"/>
      <c r="J69" s="51"/>
    </row>
    <row r="70" spans="1:10" x14ac:dyDescent="0.25">
      <c r="A70" s="2" t="s">
        <v>238</v>
      </c>
      <c r="B70" s="2">
        <v>10</v>
      </c>
      <c r="C70" s="2">
        <v>1</v>
      </c>
      <c r="D70" s="2">
        <v>8</v>
      </c>
      <c r="E70" s="2">
        <v>2</v>
      </c>
      <c r="F70" s="2">
        <v>10</v>
      </c>
      <c r="G70" s="2">
        <v>9</v>
      </c>
      <c r="H70" s="2">
        <v>10</v>
      </c>
      <c r="I70" s="2"/>
      <c r="J70" s="51" t="s">
        <v>132</v>
      </c>
    </row>
    <row r="71" spans="1:10" x14ac:dyDescent="0.25">
      <c r="A71" s="2" t="s">
        <v>238</v>
      </c>
      <c r="B71" s="2">
        <v>10</v>
      </c>
      <c r="C71" s="2">
        <v>1</v>
      </c>
      <c r="D71" s="2">
        <v>8</v>
      </c>
      <c r="E71" s="2">
        <v>1</v>
      </c>
      <c r="F71" s="2">
        <v>8</v>
      </c>
      <c r="G71" s="2">
        <v>6</v>
      </c>
      <c r="H71" s="2">
        <v>1</v>
      </c>
      <c r="I71" s="2">
        <v>1</v>
      </c>
      <c r="J71" s="51"/>
    </row>
    <row r="72" spans="1:10" x14ac:dyDescent="0.25">
      <c r="A72" s="2" t="s">
        <v>238</v>
      </c>
      <c r="B72" s="2">
        <v>10</v>
      </c>
      <c r="C72" s="2">
        <v>1</v>
      </c>
      <c r="D72" s="2">
        <v>10</v>
      </c>
      <c r="E72" s="2">
        <v>1</v>
      </c>
      <c r="F72" s="2">
        <v>6</v>
      </c>
      <c r="G72" s="2">
        <v>10</v>
      </c>
      <c r="H72" s="2">
        <v>1</v>
      </c>
      <c r="I72" s="2"/>
      <c r="J72" s="51"/>
    </row>
    <row r="73" spans="1:10" x14ac:dyDescent="0.25">
      <c r="A73" s="2" t="s">
        <v>236</v>
      </c>
      <c r="B73" s="2">
        <v>10</v>
      </c>
      <c r="C73" s="2">
        <v>1</v>
      </c>
      <c r="D73" s="2">
        <v>5</v>
      </c>
      <c r="E73" s="2">
        <v>5</v>
      </c>
      <c r="F73" s="2">
        <v>8</v>
      </c>
      <c r="G73" s="2">
        <v>8</v>
      </c>
      <c r="H73" s="2">
        <v>1</v>
      </c>
      <c r="I73" s="2"/>
      <c r="J73" s="51"/>
    </row>
    <row r="74" spans="1:10" ht="48.75" x14ac:dyDescent="0.25">
      <c r="A74" s="2" t="s">
        <v>215</v>
      </c>
      <c r="B74" s="2">
        <v>10</v>
      </c>
      <c r="C74" s="2">
        <v>3</v>
      </c>
      <c r="D74" s="2">
        <v>8</v>
      </c>
      <c r="E74" s="2">
        <v>1</v>
      </c>
      <c r="F74" s="2">
        <v>6</v>
      </c>
      <c r="G74" s="2">
        <v>7</v>
      </c>
      <c r="H74" s="2">
        <v>7</v>
      </c>
      <c r="I74" s="2">
        <v>6</v>
      </c>
      <c r="J74" s="51" t="s">
        <v>128</v>
      </c>
    </row>
    <row r="75" spans="1:10" x14ac:dyDescent="0.25">
      <c r="A75" s="2" t="s">
        <v>238</v>
      </c>
      <c r="B75" s="2">
        <v>10</v>
      </c>
      <c r="C75" s="2">
        <v>3</v>
      </c>
      <c r="D75" s="2">
        <v>8</v>
      </c>
      <c r="E75" s="2">
        <v>3</v>
      </c>
      <c r="F75" s="2">
        <v>8</v>
      </c>
      <c r="G75" s="2">
        <v>5</v>
      </c>
      <c r="H75" s="2">
        <v>3</v>
      </c>
      <c r="I75" s="2"/>
      <c r="J75" s="51"/>
    </row>
    <row r="76" spans="1:10" x14ac:dyDescent="0.25">
      <c r="A76" s="2" t="s">
        <v>215</v>
      </c>
      <c r="B76" s="2">
        <v>10</v>
      </c>
      <c r="C76" s="2">
        <v>4</v>
      </c>
      <c r="D76" s="2">
        <v>7</v>
      </c>
      <c r="E76" s="2">
        <v>4</v>
      </c>
      <c r="F76" s="2">
        <v>10</v>
      </c>
      <c r="G76" s="2">
        <v>10</v>
      </c>
      <c r="H76" s="2">
        <v>1</v>
      </c>
      <c r="I76" s="2">
        <v>1</v>
      </c>
      <c r="J76" s="51"/>
    </row>
    <row r="77" spans="1:10" x14ac:dyDescent="0.25">
      <c r="A77" s="2" t="s">
        <v>237</v>
      </c>
      <c r="B77" s="2">
        <v>10</v>
      </c>
      <c r="C77" s="2">
        <v>4</v>
      </c>
      <c r="D77" s="2">
        <v>10</v>
      </c>
      <c r="E77" s="2">
        <v>1</v>
      </c>
      <c r="F77" s="2">
        <v>3</v>
      </c>
      <c r="G77" s="2">
        <v>7</v>
      </c>
      <c r="H77" s="2">
        <v>5</v>
      </c>
      <c r="I77" s="2"/>
      <c r="J77" s="51"/>
    </row>
    <row r="78" spans="1:10" x14ac:dyDescent="0.25">
      <c r="A78" s="2" t="s">
        <v>236</v>
      </c>
      <c r="B78" s="2">
        <v>10</v>
      </c>
      <c r="C78" s="2">
        <v>5</v>
      </c>
      <c r="D78" s="2">
        <v>8</v>
      </c>
      <c r="E78" s="2">
        <v>5</v>
      </c>
      <c r="F78" s="2">
        <v>8</v>
      </c>
      <c r="G78" s="2">
        <v>10</v>
      </c>
      <c r="H78" s="2">
        <v>1</v>
      </c>
      <c r="I78" s="2"/>
      <c r="J78" s="51"/>
    </row>
    <row r="79" spans="1:10" x14ac:dyDescent="0.25">
      <c r="A79" s="2" t="s">
        <v>238</v>
      </c>
      <c r="B79" s="2">
        <v>10</v>
      </c>
      <c r="C79" s="2">
        <v>5</v>
      </c>
      <c r="D79" s="2">
        <v>10</v>
      </c>
      <c r="E79" s="2">
        <v>3</v>
      </c>
      <c r="F79" s="2">
        <v>10</v>
      </c>
      <c r="G79" s="2">
        <v>7</v>
      </c>
      <c r="H79" s="2">
        <v>2</v>
      </c>
      <c r="I79" s="2"/>
      <c r="J79" s="51"/>
    </row>
    <row r="80" spans="1:10" x14ac:dyDescent="0.25">
      <c r="A80" s="2" t="s">
        <v>237</v>
      </c>
      <c r="B80" s="2">
        <v>10</v>
      </c>
      <c r="C80" s="2">
        <v>5</v>
      </c>
      <c r="D80" s="2">
        <v>8</v>
      </c>
      <c r="E80" s="2">
        <v>1</v>
      </c>
      <c r="F80" s="2">
        <v>4</v>
      </c>
      <c r="G80" s="2">
        <v>9</v>
      </c>
      <c r="H80" s="2">
        <v>3</v>
      </c>
      <c r="I80" s="2"/>
      <c r="J80" s="51"/>
    </row>
    <row r="81" spans="1:10" ht="36.75" x14ac:dyDescent="0.25">
      <c r="A81" s="2" t="s">
        <v>237</v>
      </c>
      <c r="B81" s="2">
        <v>10</v>
      </c>
      <c r="C81" s="2">
        <v>6</v>
      </c>
      <c r="D81" s="2">
        <v>10</v>
      </c>
      <c r="E81" s="2">
        <v>5</v>
      </c>
      <c r="F81" s="2">
        <v>10</v>
      </c>
      <c r="G81" s="2">
        <v>10</v>
      </c>
      <c r="H81" s="2">
        <v>6</v>
      </c>
      <c r="I81" s="2">
        <v>10</v>
      </c>
      <c r="J81" s="51" t="s">
        <v>135</v>
      </c>
    </row>
    <row r="82" spans="1:10" x14ac:dyDescent="0.25">
      <c r="A82" s="2" t="s">
        <v>236</v>
      </c>
      <c r="B82" s="3">
        <v>10</v>
      </c>
      <c r="C82" s="3">
        <v>6</v>
      </c>
      <c r="D82" s="3">
        <v>8</v>
      </c>
      <c r="E82" s="3">
        <v>5</v>
      </c>
      <c r="F82" s="3">
        <v>7</v>
      </c>
      <c r="G82" s="3">
        <v>8</v>
      </c>
      <c r="H82" s="3">
        <v>1</v>
      </c>
      <c r="I82" s="3">
        <v>1</v>
      </c>
      <c r="J82" s="52"/>
    </row>
    <row r="83" spans="1:10" x14ac:dyDescent="0.25">
      <c r="A83" s="2" t="s">
        <v>238</v>
      </c>
      <c r="B83" s="2">
        <v>10</v>
      </c>
      <c r="C83" s="2">
        <v>7</v>
      </c>
      <c r="D83" s="2">
        <v>9</v>
      </c>
      <c r="E83" s="2">
        <v>6</v>
      </c>
      <c r="F83" s="2">
        <v>9</v>
      </c>
      <c r="G83" s="2">
        <v>6</v>
      </c>
      <c r="H83" s="2">
        <v>7</v>
      </c>
      <c r="I83" s="2"/>
      <c r="J83" s="51"/>
    </row>
    <row r="84" spans="1:10" x14ac:dyDescent="0.25">
      <c r="A84" s="2" t="s">
        <v>238</v>
      </c>
      <c r="B84" s="2">
        <v>10</v>
      </c>
      <c r="C84" s="2">
        <v>7</v>
      </c>
      <c r="D84" s="2">
        <v>8</v>
      </c>
      <c r="E84" s="2">
        <v>4</v>
      </c>
      <c r="F84" s="2">
        <v>7</v>
      </c>
      <c r="G84" s="2">
        <v>6</v>
      </c>
      <c r="H84" s="2"/>
      <c r="I84" s="2"/>
      <c r="J84" s="51"/>
    </row>
    <row r="85" spans="1:10" x14ac:dyDescent="0.25">
      <c r="A85" s="2" t="s">
        <v>238</v>
      </c>
      <c r="B85" s="2">
        <v>10</v>
      </c>
      <c r="C85" s="2">
        <v>8</v>
      </c>
      <c r="D85" s="2">
        <v>5</v>
      </c>
      <c r="E85" s="2">
        <v>1</v>
      </c>
      <c r="F85" s="2">
        <v>9</v>
      </c>
      <c r="G85" s="2">
        <v>8</v>
      </c>
      <c r="H85" s="2">
        <v>1</v>
      </c>
      <c r="I85" s="2"/>
      <c r="J85" s="51"/>
    </row>
    <row r="86" spans="1:10" x14ac:dyDescent="0.25">
      <c r="A86" s="2" t="s">
        <v>238</v>
      </c>
      <c r="B86" s="2">
        <v>10</v>
      </c>
      <c r="C86" s="2">
        <v>8</v>
      </c>
      <c r="D86" s="2">
        <v>10</v>
      </c>
      <c r="E86" s="2">
        <v>3</v>
      </c>
      <c r="F86" s="2">
        <v>7</v>
      </c>
      <c r="G86" s="2">
        <v>10</v>
      </c>
      <c r="H86" s="2">
        <v>7</v>
      </c>
      <c r="I86" s="2"/>
      <c r="J86" s="51"/>
    </row>
    <row r="87" spans="1:10" x14ac:dyDescent="0.25">
      <c r="A87" s="2" t="s">
        <v>236</v>
      </c>
      <c r="B87" s="2">
        <v>10</v>
      </c>
      <c r="C87" s="2">
        <v>8</v>
      </c>
      <c r="D87" s="2">
        <v>10</v>
      </c>
      <c r="E87" s="2">
        <v>8</v>
      </c>
      <c r="F87" s="2">
        <v>9</v>
      </c>
      <c r="G87" s="2">
        <v>10</v>
      </c>
      <c r="H87" s="2">
        <v>7</v>
      </c>
      <c r="I87" s="2"/>
      <c r="J87" s="51"/>
    </row>
    <row r="88" spans="1:10" ht="48.75" x14ac:dyDescent="0.25">
      <c r="A88" s="2" t="s">
        <v>236</v>
      </c>
      <c r="B88" s="2">
        <v>10</v>
      </c>
      <c r="C88" s="2">
        <v>10</v>
      </c>
      <c r="D88" s="2">
        <v>10</v>
      </c>
      <c r="E88" s="2">
        <v>5</v>
      </c>
      <c r="F88" s="2">
        <v>10</v>
      </c>
      <c r="G88" s="2">
        <v>1</v>
      </c>
      <c r="H88" s="2">
        <v>5</v>
      </c>
      <c r="I88" s="2"/>
      <c r="J88" s="46" t="s">
        <v>436</v>
      </c>
    </row>
    <row r="89" spans="1:10" x14ac:dyDescent="0.25">
      <c r="A89" s="2" t="s">
        <v>237</v>
      </c>
      <c r="B89" s="2">
        <v>10</v>
      </c>
      <c r="C89" s="2">
        <v>10</v>
      </c>
      <c r="D89" s="2">
        <v>10</v>
      </c>
      <c r="E89" s="2">
        <v>1</v>
      </c>
      <c r="F89" s="2">
        <v>8</v>
      </c>
      <c r="G89" s="2">
        <v>10</v>
      </c>
      <c r="H89" s="2">
        <v>1</v>
      </c>
      <c r="I89" s="2">
        <v>1</v>
      </c>
      <c r="J89" s="51"/>
    </row>
    <row r="90" spans="1:10" x14ac:dyDescent="0.25">
      <c r="A90" s="2" t="s">
        <v>215</v>
      </c>
      <c r="B90" s="2">
        <v>10</v>
      </c>
      <c r="C90" s="2">
        <v>10</v>
      </c>
      <c r="D90" s="2">
        <v>10</v>
      </c>
      <c r="E90" s="2">
        <v>5</v>
      </c>
      <c r="F90" s="2">
        <v>5</v>
      </c>
      <c r="G90" s="2">
        <v>5</v>
      </c>
      <c r="H90" s="2">
        <v>8</v>
      </c>
      <c r="I90" s="2">
        <v>5</v>
      </c>
      <c r="J90" s="51"/>
    </row>
    <row r="91" spans="1:10" x14ac:dyDescent="0.25">
      <c r="A91" s="2" t="s">
        <v>236</v>
      </c>
      <c r="B91" s="2">
        <v>10</v>
      </c>
      <c r="C91" s="2">
        <v>10</v>
      </c>
      <c r="D91" s="2">
        <v>10</v>
      </c>
      <c r="E91" s="2">
        <v>1</v>
      </c>
      <c r="F91" s="2">
        <v>10</v>
      </c>
      <c r="G91" s="2">
        <v>7</v>
      </c>
      <c r="H91" s="2">
        <v>1</v>
      </c>
      <c r="I91" s="2"/>
      <c r="J91" s="51"/>
    </row>
    <row r="92" spans="1:10" x14ac:dyDescent="0.25">
      <c r="A92" s="3" t="s">
        <v>215</v>
      </c>
      <c r="B92" s="3">
        <v>10</v>
      </c>
      <c r="C92" s="3">
        <v>10</v>
      </c>
      <c r="D92" s="3">
        <v>9</v>
      </c>
      <c r="E92" s="3">
        <v>1</v>
      </c>
      <c r="F92" s="3">
        <v>9</v>
      </c>
      <c r="G92" s="3">
        <v>9</v>
      </c>
      <c r="H92" s="3">
        <v>8</v>
      </c>
      <c r="I92" s="3"/>
      <c r="J92" s="52"/>
    </row>
    <row r="93" spans="1:10" x14ac:dyDescent="0.25">
      <c r="A93" s="2" t="s">
        <v>236</v>
      </c>
      <c r="B93" s="2">
        <v>10</v>
      </c>
      <c r="C93" s="2"/>
      <c r="D93" s="2">
        <v>5</v>
      </c>
      <c r="E93" s="2"/>
      <c r="F93" s="2">
        <v>10</v>
      </c>
      <c r="G93" s="2">
        <v>10</v>
      </c>
      <c r="H93" s="2"/>
      <c r="I93" s="2"/>
      <c r="J93" s="51"/>
    </row>
    <row r="95" spans="1:10" x14ac:dyDescent="0.25">
      <c r="B95">
        <f t="shared" ref="B95:I95" si="0">SUM(B5:B94)</f>
        <v>660</v>
      </c>
      <c r="C95" s="19">
        <f t="shared" si="0"/>
        <v>465</v>
      </c>
      <c r="D95" s="19">
        <f t="shared" si="0"/>
        <v>653</v>
      </c>
      <c r="E95" s="19">
        <f t="shared" si="0"/>
        <v>287</v>
      </c>
      <c r="F95" s="19">
        <f t="shared" si="0"/>
        <v>634</v>
      </c>
      <c r="G95" s="19">
        <f t="shared" si="0"/>
        <v>658</v>
      </c>
      <c r="H95" s="19">
        <f t="shared" si="0"/>
        <v>278</v>
      </c>
      <c r="I95" s="19">
        <f t="shared" si="0"/>
        <v>124</v>
      </c>
    </row>
    <row r="96" spans="1:10" x14ac:dyDescent="0.25">
      <c r="B96" t="s">
        <v>437</v>
      </c>
      <c r="C96" s="19" t="s">
        <v>439</v>
      </c>
      <c r="D96" s="19" t="s">
        <v>437</v>
      </c>
      <c r="E96" s="19" t="s">
        <v>440</v>
      </c>
      <c r="F96" s="19" t="s">
        <v>441</v>
      </c>
      <c r="G96" s="19" t="s">
        <v>442</v>
      </c>
      <c r="H96" s="19" t="s">
        <v>440</v>
      </c>
      <c r="I96" s="19" t="s">
        <v>443</v>
      </c>
    </row>
    <row r="97" spans="2:10" s="19" customFormat="1" x14ac:dyDescent="0.25">
      <c r="B97" s="25">
        <f>B95/89</f>
        <v>7.415730337078652</v>
      </c>
      <c r="C97" s="25">
        <f>C95/84</f>
        <v>5.5357142857142856</v>
      </c>
      <c r="D97" s="25">
        <f>D95/89</f>
        <v>7.3370786516853936</v>
      </c>
      <c r="E97" s="25">
        <f>E95/83</f>
        <v>3.4578313253012047</v>
      </c>
      <c r="F97" s="25">
        <f>F95/87</f>
        <v>7.2873563218390807</v>
      </c>
      <c r="G97" s="25">
        <f>G95/88</f>
        <v>7.4772727272727275</v>
      </c>
      <c r="H97" s="25">
        <f>H95/83</f>
        <v>3.3493975903614457</v>
      </c>
      <c r="I97" s="25">
        <f>I95/26</f>
        <v>4.7692307692307692</v>
      </c>
      <c r="J97" s="47"/>
    </row>
    <row r="98" spans="2:10" s="19" customFormat="1" x14ac:dyDescent="0.25">
      <c r="J98" s="47"/>
    </row>
  </sheetData>
  <sortState ref="L5:M12">
    <sortCondition ref="M5:M12"/>
  </sortState>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1"/>
  <sheetViews>
    <sheetView workbookViewId="0"/>
  </sheetViews>
  <sheetFormatPr defaultRowHeight="15" x14ac:dyDescent="0.25"/>
  <cols>
    <col min="3" max="4" width="9.28515625" style="19"/>
    <col min="12" max="12" width="14.85546875" style="47" customWidth="1"/>
    <col min="13" max="13" width="4.85546875" style="47" customWidth="1"/>
    <col min="14" max="14" width="30.7109375" bestFit="1" customWidth="1"/>
  </cols>
  <sheetData>
    <row r="1" spans="1:20" x14ac:dyDescent="0.25">
      <c r="A1" s="15" t="s">
        <v>444</v>
      </c>
    </row>
    <row r="3" spans="1:20" x14ac:dyDescent="0.25">
      <c r="E3" s="43" t="s">
        <v>445</v>
      </c>
      <c r="F3" s="43" t="s">
        <v>446</v>
      </c>
      <c r="G3" s="43" t="s">
        <v>450</v>
      </c>
      <c r="H3" s="43" t="s">
        <v>451</v>
      </c>
      <c r="I3" s="43" t="s">
        <v>452</v>
      </c>
      <c r="J3" s="43" t="s">
        <v>453</v>
      </c>
      <c r="K3" s="43" t="s">
        <v>447</v>
      </c>
      <c r="L3" s="46" t="s">
        <v>448</v>
      </c>
      <c r="M3" s="46"/>
      <c r="O3" t="s">
        <v>449</v>
      </c>
      <c r="Q3">
        <v>2017</v>
      </c>
      <c r="S3">
        <v>2015</v>
      </c>
      <c r="T3">
        <v>2013</v>
      </c>
    </row>
    <row r="4" spans="1:20" ht="36.75" x14ac:dyDescent="0.25">
      <c r="A4" s="2" t="s">
        <v>236</v>
      </c>
      <c r="B4" s="3" t="s">
        <v>119</v>
      </c>
      <c r="C4" s="3"/>
      <c r="D4" s="2" t="s">
        <v>236</v>
      </c>
      <c r="E4" s="2" t="s">
        <v>109</v>
      </c>
      <c r="F4" s="2" t="s">
        <v>109</v>
      </c>
      <c r="G4" s="2" t="s">
        <v>111</v>
      </c>
      <c r="H4" s="2" t="s">
        <v>111</v>
      </c>
      <c r="I4" s="3" t="s">
        <v>109</v>
      </c>
      <c r="J4" s="3" t="s">
        <v>111</v>
      </c>
      <c r="K4" s="2" t="s">
        <v>109</v>
      </c>
      <c r="L4" s="51" t="s">
        <v>139</v>
      </c>
      <c r="M4" s="52"/>
      <c r="O4" s="54" t="s">
        <v>239</v>
      </c>
      <c r="P4">
        <v>42</v>
      </c>
      <c r="Q4" s="24">
        <f>42/77</f>
        <v>0.54545454545454541</v>
      </c>
      <c r="S4" s="24">
        <v>0.56999999999999995</v>
      </c>
      <c r="T4" s="24">
        <v>0.56000000000000005</v>
      </c>
    </row>
    <row r="5" spans="1:20" ht="24.75" x14ac:dyDescent="0.25">
      <c r="A5" s="2" t="s">
        <v>236</v>
      </c>
      <c r="B5" s="3" t="s">
        <v>119</v>
      </c>
      <c r="C5" s="3"/>
      <c r="D5" s="2" t="s">
        <v>237</v>
      </c>
      <c r="E5" s="2" t="s">
        <v>109</v>
      </c>
      <c r="F5" s="2" t="s">
        <v>109</v>
      </c>
      <c r="G5" s="2" t="s">
        <v>111</v>
      </c>
      <c r="H5" s="2" t="s">
        <v>109</v>
      </c>
      <c r="I5" s="3" t="s">
        <v>109</v>
      </c>
      <c r="J5" s="2" t="s">
        <v>109</v>
      </c>
      <c r="K5" s="2" t="s">
        <v>109</v>
      </c>
      <c r="L5" s="51" t="s">
        <v>140</v>
      </c>
      <c r="M5" s="52"/>
      <c r="O5" s="43" t="s">
        <v>240</v>
      </c>
      <c r="P5">
        <v>35</v>
      </c>
      <c r="Q5" s="24">
        <f>35/77</f>
        <v>0.45454545454545453</v>
      </c>
      <c r="S5" s="24">
        <v>0.43</v>
      </c>
      <c r="T5" s="24">
        <v>0.44</v>
      </c>
    </row>
    <row r="6" spans="1:20" x14ac:dyDescent="0.25">
      <c r="A6" s="2" t="s">
        <v>236</v>
      </c>
      <c r="B6" s="3" t="s">
        <v>119</v>
      </c>
      <c r="C6" s="3"/>
      <c r="D6" s="2" t="s">
        <v>236</v>
      </c>
      <c r="E6" s="2" t="s">
        <v>109</v>
      </c>
      <c r="F6" s="2" t="s">
        <v>111</v>
      </c>
      <c r="G6" s="2" t="s">
        <v>111</v>
      </c>
      <c r="H6" s="2" t="s">
        <v>111</v>
      </c>
      <c r="I6" s="3" t="s">
        <v>111</v>
      </c>
      <c r="J6" s="3" t="s">
        <v>111</v>
      </c>
      <c r="K6" s="3" t="s">
        <v>111</v>
      </c>
      <c r="L6" s="52" t="s">
        <v>111</v>
      </c>
      <c r="M6" s="52"/>
      <c r="O6" s="43"/>
      <c r="Q6" s="24"/>
    </row>
    <row r="7" spans="1:20" x14ac:dyDescent="0.25">
      <c r="A7" s="2" t="s">
        <v>238</v>
      </c>
      <c r="B7" s="3" t="s">
        <v>119</v>
      </c>
      <c r="C7" s="3"/>
      <c r="D7" s="2" t="s">
        <v>237</v>
      </c>
      <c r="E7" s="2" t="s">
        <v>109</v>
      </c>
      <c r="F7" s="2" t="s">
        <v>111</v>
      </c>
      <c r="G7" s="2" t="s">
        <v>111</v>
      </c>
      <c r="H7" s="2" t="s">
        <v>111</v>
      </c>
      <c r="I7" s="3" t="s">
        <v>111</v>
      </c>
      <c r="J7" s="3" t="s">
        <v>111</v>
      </c>
      <c r="K7" s="3" t="s">
        <v>111</v>
      </c>
      <c r="L7" s="52" t="s">
        <v>111</v>
      </c>
      <c r="M7" s="52"/>
    </row>
    <row r="8" spans="1:20" x14ac:dyDescent="0.25">
      <c r="A8" s="2" t="s">
        <v>238</v>
      </c>
      <c r="B8" s="3" t="s">
        <v>119</v>
      </c>
      <c r="C8" s="3"/>
      <c r="D8" s="2" t="s">
        <v>237</v>
      </c>
      <c r="E8" s="2" t="s">
        <v>109</v>
      </c>
      <c r="F8" s="2" t="s">
        <v>111</v>
      </c>
      <c r="G8" s="2" t="s">
        <v>111</v>
      </c>
      <c r="H8" s="2" t="s">
        <v>111</v>
      </c>
      <c r="I8" s="3" t="s">
        <v>111</v>
      </c>
      <c r="J8" s="3" t="s">
        <v>111</v>
      </c>
      <c r="K8" s="3" t="s">
        <v>111</v>
      </c>
      <c r="L8" s="52" t="s">
        <v>111</v>
      </c>
      <c r="M8" s="52"/>
    </row>
    <row r="9" spans="1:20" x14ac:dyDescent="0.25">
      <c r="A9" s="2" t="s">
        <v>238</v>
      </c>
      <c r="B9" s="3" t="s">
        <v>119</v>
      </c>
      <c r="C9" s="3"/>
      <c r="D9" s="2" t="s">
        <v>238</v>
      </c>
      <c r="E9" s="2" t="s">
        <v>109</v>
      </c>
      <c r="F9" s="2" t="s">
        <v>111</v>
      </c>
      <c r="G9" s="2" t="s">
        <v>111</v>
      </c>
      <c r="H9" s="2" t="s">
        <v>111</v>
      </c>
      <c r="I9" s="3" t="s">
        <v>111</v>
      </c>
      <c r="J9" s="3" t="s">
        <v>111</v>
      </c>
      <c r="K9" s="3" t="s">
        <v>111</v>
      </c>
      <c r="L9" s="52" t="s">
        <v>111</v>
      </c>
      <c r="M9" s="52"/>
    </row>
    <row r="10" spans="1:20" x14ac:dyDescent="0.25">
      <c r="A10" s="2" t="s">
        <v>238</v>
      </c>
      <c r="B10" s="3" t="s">
        <v>119</v>
      </c>
      <c r="C10" s="3"/>
      <c r="D10" s="2" t="s">
        <v>238</v>
      </c>
      <c r="E10" s="2" t="s">
        <v>109</v>
      </c>
      <c r="F10" s="2" t="s">
        <v>111</v>
      </c>
      <c r="G10" s="2" t="s">
        <v>111</v>
      </c>
      <c r="H10" s="2" t="s">
        <v>111</v>
      </c>
      <c r="I10" s="3" t="s">
        <v>111</v>
      </c>
      <c r="J10" s="3" t="s">
        <v>111</v>
      </c>
      <c r="K10" s="3" t="s">
        <v>111</v>
      </c>
      <c r="L10" s="52" t="s">
        <v>111</v>
      </c>
      <c r="M10" s="52"/>
    </row>
    <row r="11" spans="1:20" x14ac:dyDescent="0.25">
      <c r="A11" s="2" t="s">
        <v>238</v>
      </c>
      <c r="B11" s="3" t="s">
        <v>119</v>
      </c>
      <c r="C11" s="3"/>
      <c r="D11" s="2" t="s">
        <v>238</v>
      </c>
      <c r="E11" s="2" t="s">
        <v>109</v>
      </c>
      <c r="F11" s="2" t="s">
        <v>111</v>
      </c>
      <c r="G11" s="2" t="s">
        <v>111</v>
      </c>
      <c r="H11" s="2" t="s">
        <v>111</v>
      </c>
      <c r="I11" s="3" t="s">
        <v>111</v>
      </c>
      <c r="J11" s="3" t="s">
        <v>111</v>
      </c>
      <c r="K11" s="3" t="s">
        <v>111</v>
      </c>
      <c r="L11" s="52" t="s">
        <v>111</v>
      </c>
      <c r="M11" s="52"/>
    </row>
    <row r="12" spans="1:20" x14ac:dyDescent="0.25">
      <c r="A12" s="2" t="s">
        <v>238</v>
      </c>
      <c r="B12" s="3" t="s">
        <v>119</v>
      </c>
      <c r="C12" s="3"/>
      <c r="D12" s="3" t="s">
        <v>238</v>
      </c>
      <c r="E12" s="3" t="s">
        <v>109</v>
      </c>
      <c r="F12" s="3" t="s">
        <v>111</v>
      </c>
      <c r="G12" s="3" t="s">
        <v>111</v>
      </c>
      <c r="H12" s="3" t="s">
        <v>111</v>
      </c>
      <c r="I12" s="3" t="s">
        <v>111</v>
      </c>
      <c r="J12" s="3" t="s">
        <v>111</v>
      </c>
      <c r="K12" s="3" t="s">
        <v>111</v>
      </c>
      <c r="L12" s="52" t="s">
        <v>111</v>
      </c>
      <c r="M12" s="52"/>
    </row>
    <row r="13" spans="1:20" x14ac:dyDescent="0.25">
      <c r="A13" s="2" t="s">
        <v>238</v>
      </c>
      <c r="B13" s="3" t="s">
        <v>119</v>
      </c>
      <c r="C13" s="3"/>
      <c r="D13" s="2" t="s">
        <v>215</v>
      </c>
      <c r="E13" s="2" t="s">
        <v>109</v>
      </c>
      <c r="F13" s="2" t="s">
        <v>111</v>
      </c>
      <c r="G13" s="2" t="s">
        <v>111</v>
      </c>
      <c r="H13" s="2" t="s">
        <v>111</v>
      </c>
      <c r="I13" s="3" t="s">
        <v>111</v>
      </c>
      <c r="J13" s="3" t="s">
        <v>111</v>
      </c>
      <c r="K13" s="3" t="s">
        <v>111</v>
      </c>
      <c r="L13" s="52" t="s">
        <v>111</v>
      </c>
      <c r="M13" s="52"/>
    </row>
    <row r="14" spans="1:20" x14ac:dyDescent="0.25">
      <c r="A14" s="2" t="s">
        <v>238</v>
      </c>
      <c r="B14" s="3" t="s">
        <v>119</v>
      </c>
      <c r="C14" s="3"/>
      <c r="D14" s="2" t="s">
        <v>236</v>
      </c>
      <c r="E14" s="3" t="s">
        <v>111</v>
      </c>
      <c r="F14" s="3" t="s">
        <v>109</v>
      </c>
      <c r="G14" s="3" t="s">
        <v>111</v>
      </c>
      <c r="H14" s="3" t="s">
        <v>111</v>
      </c>
      <c r="I14" s="3" t="s">
        <v>111</v>
      </c>
      <c r="J14" s="3" t="s">
        <v>111</v>
      </c>
      <c r="K14" s="3" t="s">
        <v>111</v>
      </c>
      <c r="L14" s="52" t="s">
        <v>111</v>
      </c>
      <c r="M14" s="52"/>
    </row>
    <row r="15" spans="1:20" x14ac:dyDescent="0.25">
      <c r="A15" s="2" t="s">
        <v>238</v>
      </c>
      <c r="B15" s="3" t="s">
        <v>119</v>
      </c>
      <c r="C15" s="3"/>
      <c r="D15" s="2" t="s">
        <v>236</v>
      </c>
      <c r="E15" s="2" t="s">
        <v>109</v>
      </c>
      <c r="F15" s="2" t="s">
        <v>109</v>
      </c>
      <c r="G15" s="2" t="s">
        <v>111</v>
      </c>
      <c r="H15" s="2" t="s">
        <v>111</v>
      </c>
      <c r="I15" s="3" t="s">
        <v>111</v>
      </c>
      <c r="J15" s="3" t="s">
        <v>111</v>
      </c>
      <c r="K15" s="3" t="s">
        <v>111</v>
      </c>
      <c r="L15" s="52" t="s">
        <v>111</v>
      </c>
      <c r="M15" s="52"/>
    </row>
    <row r="16" spans="1:20" x14ac:dyDescent="0.25">
      <c r="A16" s="2" t="s">
        <v>236</v>
      </c>
      <c r="B16" s="3" t="s">
        <v>111</v>
      </c>
      <c r="C16" s="3"/>
      <c r="D16" s="2" t="s">
        <v>236</v>
      </c>
      <c r="E16" s="2" t="s">
        <v>109</v>
      </c>
      <c r="F16" s="2" t="s">
        <v>109</v>
      </c>
      <c r="G16" s="2" t="s">
        <v>111</v>
      </c>
      <c r="H16" s="2" t="s">
        <v>111</v>
      </c>
      <c r="I16" s="3" t="s">
        <v>111</v>
      </c>
      <c r="J16" s="3" t="s">
        <v>111</v>
      </c>
      <c r="K16" s="3" t="s">
        <v>111</v>
      </c>
      <c r="L16" s="52" t="s">
        <v>111</v>
      </c>
      <c r="M16" s="52"/>
    </row>
    <row r="17" spans="1:16" x14ac:dyDescent="0.25">
      <c r="A17" s="2" t="s">
        <v>236</v>
      </c>
      <c r="B17" s="3" t="s">
        <v>111</v>
      </c>
      <c r="C17" s="3"/>
      <c r="D17" s="2" t="s">
        <v>236</v>
      </c>
      <c r="E17" s="2" t="s">
        <v>109</v>
      </c>
      <c r="F17" s="2" t="s">
        <v>111</v>
      </c>
      <c r="G17" s="2" t="s">
        <v>111</v>
      </c>
      <c r="H17" s="2" t="s">
        <v>111</v>
      </c>
      <c r="I17" s="3" t="s">
        <v>109</v>
      </c>
      <c r="J17" s="3" t="s">
        <v>111</v>
      </c>
      <c r="K17" s="3" t="s">
        <v>111</v>
      </c>
      <c r="L17" s="52" t="s">
        <v>111</v>
      </c>
      <c r="M17" s="52"/>
    </row>
    <row r="18" spans="1:16" x14ac:dyDescent="0.25">
      <c r="A18" s="2" t="s">
        <v>236</v>
      </c>
      <c r="B18" s="3" t="s">
        <v>111</v>
      </c>
      <c r="C18" s="3"/>
      <c r="D18" s="2" t="s">
        <v>236</v>
      </c>
      <c r="E18" s="2" t="s">
        <v>109</v>
      </c>
      <c r="F18" s="2" t="s">
        <v>111</v>
      </c>
      <c r="G18" s="2" t="s">
        <v>111</v>
      </c>
      <c r="H18" s="2" t="s">
        <v>111</v>
      </c>
      <c r="I18" s="3" t="s">
        <v>109</v>
      </c>
      <c r="J18" s="3" t="s">
        <v>111</v>
      </c>
      <c r="K18" s="3" t="s">
        <v>111</v>
      </c>
      <c r="L18" s="52" t="s">
        <v>111</v>
      </c>
      <c r="M18" s="52"/>
    </row>
    <row r="19" spans="1:16" x14ac:dyDescent="0.25">
      <c r="A19" s="2" t="s">
        <v>236</v>
      </c>
      <c r="B19" s="3" t="s">
        <v>111</v>
      </c>
      <c r="C19" s="3"/>
      <c r="D19" s="2" t="s">
        <v>238</v>
      </c>
      <c r="E19" s="2" t="s">
        <v>109</v>
      </c>
      <c r="F19" s="2" t="s">
        <v>111</v>
      </c>
      <c r="G19" s="2" t="s">
        <v>111</v>
      </c>
      <c r="H19" s="2" t="s">
        <v>111</v>
      </c>
      <c r="I19" s="3" t="s">
        <v>109</v>
      </c>
      <c r="J19" s="3" t="s">
        <v>111</v>
      </c>
      <c r="K19" s="3" t="s">
        <v>111</v>
      </c>
      <c r="L19" s="52" t="s">
        <v>111</v>
      </c>
      <c r="M19" s="52"/>
    </row>
    <row r="20" spans="1:16" x14ac:dyDescent="0.25">
      <c r="A20" s="2" t="s">
        <v>236</v>
      </c>
      <c r="B20" s="3" t="s">
        <v>111</v>
      </c>
      <c r="C20" s="3"/>
      <c r="D20" s="2" t="s">
        <v>238</v>
      </c>
      <c r="E20" s="2" t="s">
        <v>109</v>
      </c>
      <c r="F20" s="2" t="s">
        <v>111</v>
      </c>
      <c r="G20" s="2" t="s">
        <v>111</v>
      </c>
      <c r="H20" s="2" t="s">
        <v>111</v>
      </c>
      <c r="I20" s="3" t="s">
        <v>109</v>
      </c>
      <c r="J20" s="3" t="s">
        <v>111</v>
      </c>
      <c r="K20" s="3" t="s">
        <v>111</v>
      </c>
      <c r="L20" s="52" t="s">
        <v>111</v>
      </c>
      <c r="M20" s="51"/>
    </row>
    <row r="21" spans="1:16" x14ac:dyDescent="0.25">
      <c r="A21" s="2" t="s">
        <v>238</v>
      </c>
      <c r="B21" s="3" t="s">
        <v>111</v>
      </c>
      <c r="C21" s="3"/>
      <c r="D21" s="2" t="s">
        <v>238</v>
      </c>
      <c r="E21" s="2" t="s">
        <v>109</v>
      </c>
      <c r="F21" s="2" t="s">
        <v>111</v>
      </c>
      <c r="G21" s="2" t="s">
        <v>111</v>
      </c>
      <c r="H21" s="2" t="s">
        <v>111</v>
      </c>
      <c r="I21" s="3" t="s">
        <v>109</v>
      </c>
      <c r="J21" s="3" t="s">
        <v>111</v>
      </c>
      <c r="K21" s="3" t="s">
        <v>111</v>
      </c>
      <c r="L21" s="52" t="s">
        <v>111</v>
      </c>
      <c r="M21" s="52"/>
    </row>
    <row r="22" spans="1:16" x14ac:dyDescent="0.25">
      <c r="A22" s="2" t="s">
        <v>238</v>
      </c>
      <c r="B22" s="3" t="s">
        <v>111</v>
      </c>
      <c r="C22" s="3"/>
      <c r="D22" s="2" t="s">
        <v>238</v>
      </c>
      <c r="E22" s="2" t="s">
        <v>109</v>
      </c>
      <c r="F22" s="2" t="s">
        <v>111</v>
      </c>
      <c r="G22" s="2" t="s">
        <v>111</v>
      </c>
      <c r="H22" s="2" t="s">
        <v>111</v>
      </c>
      <c r="I22" s="3" t="s">
        <v>109</v>
      </c>
      <c r="J22" s="3" t="s">
        <v>111</v>
      </c>
      <c r="K22" s="3" t="s">
        <v>111</v>
      </c>
      <c r="L22" s="52" t="s">
        <v>111</v>
      </c>
      <c r="M22" s="52"/>
      <c r="N22" s="54" t="s">
        <v>454</v>
      </c>
    </row>
    <row r="23" spans="1:16" x14ac:dyDescent="0.25">
      <c r="A23" s="2" t="s">
        <v>238</v>
      </c>
      <c r="B23" s="3" t="s">
        <v>111</v>
      </c>
      <c r="C23" s="3"/>
      <c r="D23" s="2" t="s">
        <v>215</v>
      </c>
      <c r="E23" s="2" t="s">
        <v>109</v>
      </c>
      <c r="F23" s="2" t="s">
        <v>111</v>
      </c>
      <c r="G23" s="2" t="s">
        <v>111</v>
      </c>
      <c r="H23" s="2" t="s">
        <v>111</v>
      </c>
      <c r="I23" s="3" t="s">
        <v>109</v>
      </c>
      <c r="J23" s="3" t="s">
        <v>111</v>
      </c>
      <c r="K23" s="3" t="s">
        <v>111</v>
      </c>
      <c r="L23" s="52" t="s">
        <v>111</v>
      </c>
      <c r="M23" s="51"/>
      <c r="O23" t="s">
        <v>239</v>
      </c>
      <c r="P23" t="s">
        <v>240</v>
      </c>
    </row>
    <row r="24" spans="1:16" x14ac:dyDescent="0.25">
      <c r="A24" s="2" t="s">
        <v>238</v>
      </c>
      <c r="B24" s="3" t="s">
        <v>111</v>
      </c>
      <c r="C24" s="3"/>
      <c r="D24" s="2" t="s">
        <v>236</v>
      </c>
      <c r="E24" s="2" t="s">
        <v>109</v>
      </c>
      <c r="F24" s="2" t="s">
        <v>111</v>
      </c>
      <c r="G24" s="2" t="s">
        <v>111</v>
      </c>
      <c r="H24" s="2" t="s">
        <v>111</v>
      </c>
      <c r="I24" s="3" t="s">
        <v>111</v>
      </c>
      <c r="J24" s="2" t="s">
        <v>109</v>
      </c>
      <c r="K24" s="3" t="s">
        <v>111</v>
      </c>
      <c r="L24" s="52" t="s">
        <v>111</v>
      </c>
      <c r="M24" s="52"/>
      <c r="N24" s="43" t="s">
        <v>450</v>
      </c>
      <c r="O24" s="36">
        <f>2/42</f>
        <v>4.7619047619047616E-2</v>
      </c>
      <c r="P24">
        <v>40</v>
      </c>
    </row>
    <row r="25" spans="1:16" x14ac:dyDescent="0.25">
      <c r="A25" s="2" t="s">
        <v>238</v>
      </c>
      <c r="B25" s="3" t="s">
        <v>111</v>
      </c>
      <c r="C25" s="3"/>
      <c r="D25" s="2" t="s">
        <v>236</v>
      </c>
      <c r="E25" s="2" t="s">
        <v>109</v>
      </c>
      <c r="F25" s="2" t="s">
        <v>111</v>
      </c>
      <c r="G25" s="2" t="s">
        <v>111</v>
      </c>
      <c r="H25" s="2" t="s">
        <v>111</v>
      </c>
      <c r="I25" s="3" t="s">
        <v>111</v>
      </c>
      <c r="J25" s="2" t="s">
        <v>109</v>
      </c>
      <c r="K25" s="3" t="s">
        <v>111</v>
      </c>
      <c r="L25" s="52" t="s">
        <v>111</v>
      </c>
      <c r="M25" s="52"/>
      <c r="N25" s="46" t="s">
        <v>448</v>
      </c>
      <c r="O25" s="36">
        <f>3/42</f>
        <v>7.1428571428571425E-2</v>
      </c>
      <c r="P25">
        <v>39</v>
      </c>
    </row>
    <row r="26" spans="1:16" x14ac:dyDescent="0.25">
      <c r="A26" s="2" t="s">
        <v>238</v>
      </c>
      <c r="B26" s="3" t="s">
        <v>111</v>
      </c>
      <c r="C26" s="3"/>
      <c r="D26" s="2" t="s">
        <v>236</v>
      </c>
      <c r="E26" s="2" t="s">
        <v>109</v>
      </c>
      <c r="F26" s="2" t="s">
        <v>111</v>
      </c>
      <c r="G26" s="2" t="s">
        <v>111</v>
      </c>
      <c r="H26" s="2" t="s">
        <v>111</v>
      </c>
      <c r="I26" s="3" t="s">
        <v>111</v>
      </c>
      <c r="J26" s="2" t="s">
        <v>109</v>
      </c>
      <c r="K26" s="3" t="s">
        <v>111</v>
      </c>
      <c r="L26" s="52" t="s">
        <v>111</v>
      </c>
      <c r="M26" s="52"/>
      <c r="N26" s="43" t="s">
        <v>451</v>
      </c>
      <c r="O26" s="36">
        <f>4/42</f>
        <v>9.5238095238095233E-2</v>
      </c>
      <c r="P26">
        <v>38</v>
      </c>
    </row>
    <row r="27" spans="1:16" x14ac:dyDescent="0.25">
      <c r="A27" s="2" t="s">
        <v>238</v>
      </c>
      <c r="B27" s="3" t="s">
        <v>111</v>
      </c>
      <c r="C27" s="3"/>
      <c r="D27" s="2" t="s">
        <v>236</v>
      </c>
      <c r="E27" s="2" t="s">
        <v>109</v>
      </c>
      <c r="F27" s="2" t="s">
        <v>111</v>
      </c>
      <c r="G27" s="2" t="s">
        <v>111</v>
      </c>
      <c r="H27" s="2" t="s">
        <v>111</v>
      </c>
      <c r="I27" s="3" t="s">
        <v>111</v>
      </c>
      <c r="J27" s="2" t="s">
        <v>109</v>
      </c>
      <c r="K27" s="3" t="s">
        <v>111</v>
      </c>
      <c r="L27" s="52" t="s">
        <v>111</v>
      </c>
      <c r="M27" s="52"/>
      <c r="N27" s="43" t="s">
        <v>446</v>
      </c>
      <c r="O27" s="36">
        <f>11/42</f>
        <v>0.26190476190476192</v>
      </c>
      <c r="P27">
        <v>31</v>
      </c>
    </row>
    <row r="28" spans="1:16" x14ac:dyDescent="0.25">
      <c r="A28" s="2" t="s">
        <v>238</v>
      </c>
      <c r="B28" s="3" t="s">
        <v>111</v>
      </c>
      <c r="C28" s="3"/>
      <c r="D28" s="2" t="s">
        <v>237</v>
      </c>
      <c r="E28" s="2" t="s">
        <v>109</v>
      </c>
      <c r="F28" s="2" t="s">
        <v>111</v>
      </c>
      <c r="G28" s="2" t="s">
        <v>111</v>
      </c>
      <c r="H28" s="2" t="s">
        <v>111</v>
      </c>
      <c r="I28" s="3" t="s">
        <v>111</v>
      </c>
      <c r="J28" s="2" t="s">
        <v>109</v>
      </c>
      <c r="K28" s="3" t="s">
        <v>111</v>
      </c>
      <c r="L28" s="52" t="s">
        <v>111</v>
      </c>
      <c r="M28" s="52"/>
      <c r="N28" s="43" t="s">
        <v>453</v>
      </c>
      <c r="O28" s="36">
        <f>14/42</f>
        <v>0.33333333333333331</v>
      </c>
      <c r="P28">
        <v>28</v>
      </c>
    </row>
    <row r="29" spans="1:16" x14ac:dyDescent="0.25">
      <c r="A29" s="2" t="s">
        <v>238</v>
      </c>
      <c r="B29" s="3" t="s">
        <v>111</v>
      </c>
      <c r="C29" s="3"/>
      <c r="D29" s="2" t="s">
        <v>215</v>
      </c>
      <c r="E29" s="2" t="s">
        <v>109</v>
      </c>
      <c r="F29" s="2" t="s">
        <v>111</v>
      </c>
      <c r="G29" s="2" t="s">
        <v>109</v>
      </c>
      <c r="H29" s="2" t="s">
        <v>111</v>
      </c>
      <c r="I29" s="3" t="s">
        <v>109</v>
      </c>
      <c r="J29" s="2" t="s">
        <v>109</v>
      </c>
      <c r="K29" s="3" t="s">
        <v>111</v>
      </c>
      <c r="L29" s="52" t="s">
        <v>111</v>
      </c>
      <c r="M29" s="52"/>
      <c r="N29" s="43" t="s">
        <v>447</v>
      </c>
      <c r="O29" s="36">
        <f>17/42</f>
        <v>0.40476190476190477</v>
      </c>
      <c r="P29">
        <v>25</v>
      </c>
    </row>
    <row r="30" spans="1:16" x14ac:dyDescent="0.25">
      <c r="A30" s="2" t="s">
        <v>238</v>
      </c>
      <c r="B30" s="3" t="s">
        <v>111</v>
      </c>
      <c r="C30" s="3"/>
      <c r="D30" s="2" t="s">
        <v>236</v>
      </c>
      <c r="E30" s="2" t="s">
        <v>109</v>
      </c>
      <c r="F30" s="2" t="s">
        <v>109</v>
      </c>
      <c r="G30" s="2" t="s">
        <v>111</v>
      </c>
      <c r="H30" s="2" t="s">
        <v>111</v>
      </c>
      <c r="I30" s="3" t="s">
        <v>111</v>
      </c>
      <c r="J30" s="3" t="s">
        <v>111</v>
      </c>
      <c r="K30" s="2" t="s">
        <v>109</v>
      </c>
      <c r="L30" s="52" t="s">
        <v>111</v>
      </c>
      <c r="M30" s="52"/>
      <c r="N30" s="43" t="s">
        <v>452</v>
      </c>
      <c r="O30" s="36">
        <f>20/42</f>
        <v>0.47619047619047616</v>
      </c>
      <c r="P30">
        <v>22</v>
      </c>
    </row>
    <row r="31" spans="1:16" x14ac:dyDescent="0.25">
      <c r="A31" s="2" t="s">
        <v>238</v>
      </c>
      <c r="B31" s="3" t="s">
        <v>111</v>
      </c>
      <c r="C31" s="3"/>
      <c r="D31" s="2" t="s">
        <v>238</v>
      </c>
      <c r="E31" s="2" t="s">
        <v>109</v>
      </c>
      <c r="F31" s="2" t="s">
        <v>111</v>
      </c>
      <c r="G31" s="2" t="s">
        <v>111</v>
      </c>
      <c r="H31" s="2" t="s">
        <v>109</v>
      </c>
      <c r="I31" s="3" t="s">
        <v>111</v>
      </c>
      <c r="J31" s="3" t="s">
        <v>111</v>
      </c>
      <c r="K31" s="2" t="s">
        <v>109</v>
      </c>
      <c r="L31" s="52" t="s">
        <v>111</v>
      </c>
      <c r="M31" s="52"/>
      <c r="N31" s="43" t="s">
        <v>445</v>
      </c>
      <c r="O31" s="36">
        <f>41/42</f>
        <v>0.97619047619047616</v>
      </c>
      <c r="P31">
        <v>1</v>
      </c>
    </row>
    <row r="32" spans="1:16" x14ac:dyDescent="0.25">
      <c r="A32" s="2" t="s">
        <v>238</v>
      </c>
      <c r="B32" s="3" t="s">
        <v>111</v>
      </c>
      <c r="C32" s="3"/>
      <c r="D32" s="2" t="s">
        <v>238</v>
      </c>
      <c r="E32" s="2" t="s">
        <v>109</v>
      </c>
      <c r="F32" s="2" t="s">
        <v>111</v>
      </c>
      <c r="G32" s="2" t="s">
        <v>111</v>
      </c>
      <c r="H32" s="2" t="s">
        <v>111</v>
      </c>
      <c r="I32" s="3" t="s">
        <v>109</v>
      </c>
      <c r="J32" s="3" t="s">
        <v>111</v>
      </c>
      <c r="K32" s="2" t="s">
        <v>109</v>
      </c>
      <c r="L32" s="52" t="s">
        <v>111</v>
      </c>
      <c r="M32" s="52"/>
    </row>
    <row r="33" spans="1:13" x14ac:dyDescent="0.25">
      <c r="A33" s="2" t="s">
        <v>238</v>
      </c>
      <c r="B33" s="3" t="s">
        <v>111</v>
      </c>
      <c r="C33" s="3"/>
      <c r="D33" s="2" t="s">
        <v>238</v>
      </c>
      <c r="E33" s="2" t="s">
        <v>109</v>
      </c>
      <c r="F33" s="2" t="s">
        <v>111</v>
      </c>
      <c r="G33" s="2" t="s">
        <v>111</v>
      </c>
      <c r="H33" s="2" t="s">
        <v>111</v>
      </c>
      <c r="I33" s="3" t="s">
        <v>109</v>
      </c>
      <c r="J33" s="3" t="s">
        <v>111</v>
      </c>
      <c r="K33" s="2" t="s">
        <v>109</v>
      </c>
      <c r="L33" s="52" t="s">
        <v>111</v>
      </c>
      <c r="M33" s="52"/>
    </row>
    <row r="34" spans="1:13" x14ac:dyDescent="0.25">
      <c r="A34" s="2" t="s">
        <v>238</v>
      </c>
      <c r="B34" s="3" t="s">
        <v>111</v>
      </c>
      <c r="C34" s="3"/>
      <c r="D34" s="3" t="s">
        <v>215</v>
      </c>
      <c r="E34" s="3" t="s">
        <v>109</v>
      </c>
      <c r="F34" s="3" t="s">
        <v>111</v>
      </c>
      <c r="G34" s="3" t="s">
        <v>111</v>
      </c>
      <c r="H34" s="3" t="s">
        <v>111</v>
      </c>
      <c r="I34" s="3" t="s">
        <v>109</v>
      </c>
      <c r="J34" s="3" t="s">
        <v>111</v>
      </c>
      <c r="K34" s="3" t="s">
        <v>109</v>
      </c>
      <c r="L34" s="52" t="s">
        <v>111</v>
      </c>
      <c r="M34" s="52"/>
    </row>
    <row r="35" spans="1:13" x14ac:dyDescent="0.25">
      <c r="A35" s="2" t="s">
        <v>238</v>
      </c>
      <c r="B35" s="3" t="s">
        <v>111</v>
      </c>
      <c r="C35" s="3"/>
      <c r="D35" s="2" t="s">
        <v>236</v>
      </c>
      <c r="E35" s="2" t="s">
        <v>109</v>
      </c>
      <c r="F35" s="2" t="s">
        <v>109</v>
      </c>
      <c r="G35" s="2" t="s">
        <v>111</v>
      </c>
      <c r="H35" s="2" t="s">
        <v>111</v>
      </c>
      <c r="I35" s="3" t="s">
        <v>109</v>
      </c>
      <c r="J35" s="3" t="s">
        <v>111</v>
      </c>
      <c r="K35" s="2" t="s">
        <v>109</v>
      </c>
      <c r="L35" s="52" t="s">
        <v>111</v>
      </c>
      <c r="M35" s="52"/>
    </row>
    <row r="36" spans="1:13" x14ac:dyDescent="0.25">
      <c r="A36" s="2" t="s">
        <v>238</v>
      </c>
      <c r="B36" s="3" t="s">
        <v>111</v>
      </c>
      <c r="C36" s="3"/>
      <c r="D36" s="2" t="s">
        <v>236</v>
      </c>
      <c r="E36" s="3" t="s">
        <v>109</v>
      </c>
      <c r="F36" s="3" t="s">
        <v>109</v>
      </c>
      <c r="G36" s="3" t="s">
        <v>109</v>
      </c>
      <c r="H36" s="3" t="s">
        <v>111</v>
      </c>
      <c r="I36" s="3" t="s">
        <v>109</v>
      </c>
      <c r="J36" s="3" t="s">
        <v>111</v>
      </c>
      <c r="K36" s="3" t="s">
        <v>109</v>
      </c>
      <c r="L36" s="52" t="s">
        <v>111</v>
      </c>
      <c r="M36" s="51"/>
    </row>
    <row r="37" spans="1:13" x14ac:dyDescent="0.25">
      <c r="A37" s="2" t="s">
        <v>238</v>
      </c>
      <c r="B37" s="3" t="s">
        <v>111</v>
      </c>
      <c r="C37" s="3"/>
      <c r="D37" s="2" t="s">
        <v>237</v>
      </c>
      <c r="E37" s="2" t="s">
        <v>109</v>
      </c>
      <c r="F37" s="2" t="s">
        <v>111</v>
      </c>
      <c r="G37" s="2" t="s">
        <v>111</v>
      </c>
      <c r="H37" s="2" t="s">
        <v>109</v>
      </c>
      <c r="I37" s="3" t="s">
        <v>109</v>
      </c>
      <c r="J37" s="3" t="s">
        <v>111</v>
      </c>
      <c r="K37" s="2" t="s">
        <v>109</v>
      </c>
      <c r="L37" s="52" t="s">
        <v>111</v>
      </c>
      <c r="M37" s="52"/>
    </row>
    <row r="38" spans="1:13" x14ac:dyDescent="0.25">
      <c r="A38" s="2" t="s">
        <v>238</v>
      </c>
      <c r="B38" s="3" t="s">
        <v>111</v>
      </c>
      <c r="C38" s="3"/>
      <c r="D38" s="2" t="s">
        <v>236</v>
      </c>
      <c r="E38" s="3" t="s">
        <v>109</v>
      </c>
      <c r="F38" s="3" t="s">
        <v>111</v>
      </c>
      <c r="G38" s="3" t="s">
        <v>111</v>
      </c>
      <c r="H38" s="3" t="s">
        <v>111</v>
      </c>
      <c r="I38" s="3" t="s">
        <v>111</v>
      </c>
      <c r="J38" s="3" t="s">
        <v>109</v>
      </c>
      <c r="K38" s="3" t="s">
        <v>109</v>
      </c>
      <c r="L38" s="52" t="s">
        <v>111</v>
      </c>
      <c r="M38" s="52"/>
    </row>
    <row r="39" spans="1:13" x14ac:dyDescent="0.25">
      <c r="A39" s="2" t="s">
        <v>238</v>
      </c>
      <c r="B39" s="3" t="s">
        <v>111</v>
      </c>
      <c r="C39" s="3"/>
      <c r="D39" s="2" t="s">
        <v>236</v>
      </c>
      <c r="E39" s="2" t="s">
        <v>109</v>
      </c>
      <c r="F39" s="2" t="s">
        <v>111</v>
      </c>
      <c r="G39" s="2" t="s">
        <v>111</v>
      </c>
      <c r="H39" s="2" t="s">
        <v>111</v>
      </c>
      <c r="I39" s="3" t="s">
        <v>111</v>
      </c>
      <c r="J39" s="2" t="s">
        <v>109</v>
      </c>
      <c r="K39" s="2" t="s">
        <v>109</v>
      </c>
      <c r="L39" s="52" t="s">
        <v>111</v>
      </c>
      <c r="M39" s="52"/>
    </row>
    <row r="40" spans="1:13" x14ac:dyDescent="0.25">
      <c r="A40" s="2" t="s">
        <v>238</v>
      </c>
      <c r="B40" s="3" t="s">
        <v>111</v>
      </c>
      <c r="C40" s="3"/>
      <c r="D40" s="2" t="s">
        <v>215</v>
      </c>
      <c r="E40" s="2" t="s">
        <v>109</v>
      </c>
      <c r="F40" s="2" t="s">
        <v>111</v>
      </c>
      <c r="G40" s="2" t="s">
        <v>111</v>
      </c>
      <c r="H40" s="2" t="s">
        <v>111</v>
      </c>
      <c r="I40" s="3" t="s">
        <v>111</v>
      </c>
      <c r="J40" s="2" t="s">
        <v>109</v>
      </c>
      <c r="K40" s="2" t="s">
        <v>109</v>
      </c>
      <c r="L40" s="52" t="s">
        <v>111</v>
      </c>
      <c r="M40" s="52"/>
    </row>
    <row r="41" spans="1:13" x14ac:dyDescent="0.25">
      <c r="A41" s="2" t="s">
        <v>238</v>
      </c>
      <c r="B41" s="3" t="s">
        <v>111</v>
      </c>
      <c r="C41" s="3"/>
      <c r="D41" s="2" t="s">
        <v>236</v>
      </c>
      <c r="E41" s="2" t="s">
        <v>109</v>
      </c>
      <c r="F41" s="2" t="s">
        <v>109</v>
      </c>
      <c r="G41" s="2" t="s">
        <v>111</v>
      </c>
      <c r="H41" s="2" t="s">
        <v>111</v>
      </c>
      <c r="I41" s="3" t="s">
        <v>111</v>
      </c>
      <c r="J41" s="2" t="s">
        <v>109</v>
      </c>
      <c r="K41" s="2" t="s">
        <v>109</v>
      </c>
      <c r="L41" s="52" t="s">
        <v>111</v>
      </c>
      <c r="M41" s="52"/>
    </row>
    <row r="42" spans="1:13" x14ac:dyDescent="0.25">
      <c r="A42" s="2" t="s">
        <v>238</v>
      </c>
      <c r="B42" s="3" t="s">
        <v>111</v>
      </c>
      <c r="C42" s="3"/>
      <c r="D42" s="2" t="s">
        <v>236</v>
      </c>
      <c r="E42" s="2" t="s">
        <v>109</v>
      </c>
      <c r="F42" s="2" t="s">
        <v>109</v>
      </c>
      <c r="G42" s="2" t="s">
        <v>111</v>
      </c>
      <c r="H42" s="2" t="s">
        <v>111</v>
      </c>
      <c r="I42" s="3" t="s">
        <v>109</v>
      </c>
      <c r="J42" s="2" t="s">
        <v>109</v>
      </c>
      <c r="K42" s="2" t="s">
        <v>109</v>
      </c>
      <c r="L42" s="52" t="s">
        <v>111</v>
      </c>
      <c r="M42" s="52"/>
    </row>
    <row r="43" spans="1:13" x14ac:dyDescent="0.25">
      <c r="A43" s="2" t="s">
        <v>238</v>
      </c>
      <c r="B43" s="3" t="s">
        <v>111</v>
      </c>
      <c r="C43" s="3"/>
      <c r="D43" s="2" t="s">
        <v>236</v>
      </c>
      <c r="E43" s="2" t="s">
        <v>109</v>
      </c>
      <c r="F43" s="2" t="s">
        <v>109</v>
      </c>
      <c r="G43" s="2" t="s">
        <v>111</v>
      </c>
      <c r="H43" s="2" t="s">
        <v>111</v>
      </c>
      <c r="I43" s="3" t="s">
        <v>109</v>
      </c>
      <c r="J43" s="2" t="s">
        <v>109</v>
      </c>
      <c r="K43" s="2" t="s">
        <v>109</v>
      </c>
      <c r="L43" s="52" t="s">
        <v>111</v>
      </c>
      <c r="M43" s="52"/>
    </row>
    <row r="44" spans="1:13" x14ac:dyDescent="0.25">
      <c r="A44" s="2" t="s">
        <v>238</v>
      </c>
      <c r="B44" s="3" t="s">
        <v>111</v>
      </c>
      <c r="C44" s="3"/>
      <c r="D44" s="2" t="s">
        <v>215</v>
      </c>
      <c r="E44" s="2" t="s">
        <v>109</v>
      </c>
      <c r="F44" s="2" t="s">
        <v>111</v>
      </c>
      <c r="G44" s="2" t="s">
        <v>111</v>
      </c>
      <c r="H44" s="2" t="s">
        <v>109</v>
      </c>
      <c r="I44" s="3" t="s">
        <v>109</v>
      </c>
      <c r="J44" s="2" t="s">
        <v>109</v>
      </c>
      <c r="K44" s="2" t="s">
        <v>109</v>
      </c>
      <c r="L44" s="52" t="s">
        <v>111</v>
      </c>
      <c r="M44" s="52"/>
    </row>
    <row r="45" spans="1:13" x14ac:dyDescent="0.25">
      <c r="A45" s="2" t="s">
        <v>238</v>
      </c>
      <c r="B45" s="3" t="s">
        <v>111</v>
      </c>
      <c r="C45" s="3"/>
      <c r="D45" s="2" t="s">
        <v>238</v>
      </c>
      <c r="E45" s="2" t="s">
        <v>109</v>
      </c>
      <c r="F45" s="2" t="s">
        <v>111</v>
      </c>
      <c r="G45" s="2" t="s">
        <v>111</v>
      </c>
      <c r="H45" s="2" t="s">
        <v>111</v>
      </c>
      <c r="I45" s="3" t="s">
        <v>109</v>
      </c>
      <c r="J45" s="3" t="s">
        <v>111</v>
      </c>
      <c r="K45" s="3" t="s">
        <v>111</v>
      </c>
      <c r="L45" s="51" t="s">
        <v>126</v>
      </c>
      <c r="M45" s="52"/>
    </row>
    <row r="46" spans="1:13" x14ac:dyDescent="0.25">
      <c r="A46" s="2" t="s">
        <v>238</v>
      </c>
      <c r="B46" s="3" t="s">
        <v>111</v>
      </c>
      <c r="C46" s="3"/>
      <c r="D46" s="2"/>
      <c r="E46" s="2"/>
      <c r="F46" s="2"/>
      <c r="G46" s="2"/>
      <c r="H46" s="2"/>
      <c r="I46" s="3"/>
      <c r="J46" s="2"/>
      <c r="K46" s="2"/>
      <c r="L46" s="51"/>
      <c r="M46" s="51"/>
    </row>
    <row r="47" spans="1:13" x14ac:dyDescent="0.25">
      <c r="A47" s="2" t="s">
        <v>238</v>
      </c>
      <c r="B47" s="3" t="s">
        <v>111</v>
      </c>
      <c r="C47" s="3"/>
      <c r="D47" s="2"/>
      <c r="E47" s="2"/>
      <c r="F47" s="2"/>
      <c r="G47" s="2"/>
      <c r="H47" s="2"/>
      <c r="I47" s="3"/>
      <c r="J47" s="2"/>
      <c r="K47" s="2"/>
      <c r="L47" s="51"/>
      <c r="M47" s="51"/>
    </row>
    <row r="48" spans="1:13" x14ac:dyDescent="0.25">
      <c r="A48" s="2" t="s">
        <v>215</v>
      </c>
      <c r="B48" s="3" t="s">
        <v>111</v>
      </c>
      <c r="C48" s="3"/>
      <c r="D48" s="43" t="s">
        <v>454</v>
      </c>
      <c r="E48" s="2"/>
      <c r="F48" s="2"/>
      <c r="G48" s="2"/>
      <c r="H48" s="2"/>
      <c r="I48" s="3"/>
      <c r="J48" s="2"/>
      <c r="K48" s="2"/>
      <c r="L48" s="51"/>
      <c r="M48" s="51"/>
    </row>
    <row r="49" spans="1:13" x14ac:dyDescent="0.25">
      <c r="A49" s="2" t="s">
        <v>215</v>
      </c>
      <c r="B49" s="3" t="s">
        <v>111</v>
      </c>
      <c r="C49" s="3"/>
      <c r="D49" s="2"/>
      <c r="E49" s="2"/>
      <c r="F49" s="2"/>
      <c r="G49" s="2"/>
      <c r="H49" s="2"/>
      <c r="I49" s="3"/>
      <c r="J49" s="2"/>
      <c r="K49" s="2"/>
      <c r="L49" s="51"/>
      <c r="M49" s="51"/>
    </row>
    <row r="50" spans="1:13" x14ac:dyDescent="0.25">
      <c r="A50" s="2" t="s">
        <v>215</v>
      </c>
      <c r="B50" s="3" t="s">
        <v>111</v>
      </c>
      <c r="C50" s="3"/>
      <c r="D50" s="2"/>
      <c r="E50" s="2"/>
      <c r="F50" s="2"/>
      <c r="G50" s="2"/>
      <c r="H50" s="2"/>
      <c r="I50" s="3"/>
      <c r="J50" s="2"/>
      <c r="K50" s="2"/>
      <c r="L50" s="51"/>
      <c r="M50" s="51"/>
    </row>
    <row r="51" spans="1:13" x14ac:dyDescent="0.25">
      <c r="A51" s="2" t="s">
        <v>236</v>
      </c>
      <c r="B51" s="3" t="s">
        <v>109</v>
      </c>
      <c r="C51" s="3"/>
      <c r="D51" s="2"/>
      <c r="E51" s="2"/>
      <c r="F51" s="2"/>
      <c r="G51" s="2"/>
      <c r="H51" s="2"/>
      <c r="I51" s="3"/>
      <c r="J51" s="2"/>
      <c r="K51" s="2"/>
      <c r="L51" s="51"/>
      <c r="M51" s="51"/>
    </row>
    <row r="52" spans="1:13" x14ac:dyDescent="0.25">
      <c r="A52" s="2" t="s">
        <v>236</v>
      </c>
      <c r="B52" s="3" t="s">
        <v>109</v>
      </c>
      <c r="C52" s="3"/>
      <c r="D52" s="2"/>
      <c r="E52" s="2"/>
      <c r="F52" s="2"/>
      <c r="G52" s="2"/>
      <c r="H52" s="2"/>
      <c r="I52" s="3"/>
      <c r="J52" s="2"/>
      <c r="K52" s="2"/>
      <c r="L52" s="51"/>
      <c r="M52" s="51"/>
    </row>
    <row r="53" spans="1:13" x14ac:dyDescent="0.25">
      <c r="A53" s="2" t="s">
        <v>236</v>
      </c>
      <c r="B53" s="3" t="s">
        <v>109</v>
      </c>
      <c r="C53" s="3"/>
      <c r="D53" s="2"/>
      <c r="E53" s="2"/>
      <c r="F53" s="2"/>
      <c r="G53" s="2"/>
      <c r="H53" s="2"/>
      <c r="I53" s="3"/>
      <c r="J53" s="2"/>
      <c r="K53" s="2"/>
      <c r="L53" s="51"/>
      <c r="M53" s="51"/>
    </row>
    <row r="54" spans="1:13" x14ac:dyDescent="0.25">
      <c r="A54" s="2" t="s">
        <v>236</v>
      </c>
      <c r="B54" s="3" t="s">
        <v>109</v>
      </c>
      <c r="C54" s="3"/>
      <c r="D54" s="2"/>
      <c r="E54" s="3"/>
      <c r="F54" s="3"/>
      <c r="G54" s="3"/>
      <c r="H54" s="3"/>
      <c r="I54" s="3"/>
      <c r="J54" s="3"/>
      <c r="K54" s="3"/>
      <c r="L54" s="52"/>
      <c r="M54" s="52"/>
    </row>
    <row r="55" spans="1:13" x14ac:dyDescent="0.25">
      <c r="A55" s="2" t="s">
        <v>236</v>
      </c>
      <c r="B55" s="3" t="s">
        <v>109</v>
      </c>
      <c r="C55" s="3"/>
      <c r="D55" s="2"/>
      <c r="E55" s="2"/>
      <c r="F55" s="2"/>
      <c r="G55" s="2"/>
      <c r="H55" s="2"/>
      <c r="I55" s="3"/>
      <c r="J55" s="2"/>
      <c r="K55" s="2"/>
      <c r="L55" s="51"/>
      <c r="M55" s="51"/>
    </row>
    <row r="56" spans="1:13" x14ac:dyDescent="0.25">
      <c r="A56" s="2" t="s">
        <v>236</v>
      </c>
      <c r="B56" s="3" t="s">
        <v>109</v>
      </c>
      <c r="C56" s="3"/>
      <c r="D56" s="2"/>
      <c r="E56" s="2"/>
      <c r="F56" s="2"/>
      <c r="G56" s="2"/>
      <c r="H56" s="2"/>
      <c r="I56" s="3"/>
      <c r="J56" s="2"/>
      <c r="K56" s="2"/>
      <c r="L56" s="51"/>
      <c r="M56" s="51"/>
    </row>
    <row r="57" spans="1:13" x14ac:dyDescent="0.25">
      <c r="A57" s="2" t="s">
        <v>236</v>
      </c>
      <c r="B57" s="3" t="s">
        <v>109</v>
      </c>
      <c r="C57" s="3"/>
      <c r="D57" s="2"/>
      <c r="E57" s="2"/>
      <c r="F57" s="2"/>
      <c r="G57" s="2"/>
      <c r="H57" s="2"/>
      <c r="I57" s="3"/>
      <c r="J57" s="2"/>
      <c r="K57" s="2"/>
      <c r="L57" s="51"/>
      <c r="M57" s="51"/>
    </row>
    <row r="58" spans="1:13" x14ac:dyDescent="0.25">
      <c r="A58" s="2" t="s">
        <v>236</v>
      </c>
      <c r="B58" s="3" t="s">
        <v>109</v>
      </c>
      <c r="C58" s="3"/>
      <c r="D58" s="2"/>
      <c r="E58" s="2"/>
      <c r="F58" s="2"/>
      <c r="G58" s="2"/>
      <c r="H58" s="2"/>
      <c r="I58" s="3"/>
      <c r="J58" s="2"/>
      <c r="K58" s="2"/>
      <c r="L58" s="51"/>
      <c r="M58" s="51"/>
    </row>
    <row r="59" spans="1:13" x14ac:dyDescent="0.25">
      <c r="A59" s="2" t="s">
        <v>236</v>
      </c>
      <c r="B59" s="3" t="s">
        <v>109</v>
      </c>
      <c r="C59" s="3"/>
      <c r="D59" s="2"/>
      <c r="E59" s="2"/>
      <c r="F59" s="2"/>
      <c r="G59" s="2"/>
      <c r="H59" s="2"/>
      <c r="I59" s="3"/>
      <c r="J59" s="2"/>
      <c r="K59" s="2"/>
      <c r="L59" s="51"/>
      <c r="M59" s="51"/>
    </row>
    <row r="60" spans="1:13" x14ac:dyDescent="0.25">
      <c r="A60" s="2" t="s">
        <v>236</v>
      </c>
      <c r="B60" s="3" t="s">
        <v>109</v>
      </c>
      <c r="C60" s="3"/>
      <c r="D60" s="2"/>
      <c r="E60" s="2"/>
      <c r="F60" s="2"/>
      <c r="G60" s="2"/>
      <c r="H60" s="2"/>
      <c r="I60" s="3"/>
      <c r="J60" s="2"/>
      <c r="K60" s="2"/>
      <c r="L60" s="51"/>
      <c r="M60" s="51"/>
    </row>
    <row r="61" spans="1:13" x14ac:dyDescent="0.25">
      <c r="A61" s="2" t="s">
        <v>236</v>
      </c>
      <c r="B61" s="3" t="s">
        <v>109</v>
      </c>
      <c r="C61" s="3"/>
      <c r="D61" s="2"/>
      <c r="E61" s="2"/>
      <c r="F61" s="2"/>
      <c r="G61" s="2"/>
      <c r="H61" s="2"/>
      <c r="I61" s="3"/>
      <c r="J61" s="2"/>
      <c r="K61" s="2"/>
      <c r="L61" s="51"/>
      <c r="M61" s="51"/>
    </row>
    <row r="62" spans="1:13" x14ac:dyDescent="0.25">
      <c r="A62" s="2" t="s">
        <v>236</v>
      </c>
      <c r="B62" s="3" t="s">
        <v>109</v>
      </c>
      <c r="C62" s="3"/>
      <c r="D62" s="3"/>
      <c r="E62" s="3"/>
      <c r="F62" s="3"/>
      <c r="G62" s="3"/>
      <c r="H62" s="3"/>
      <c r="I62" s="3"/>
      <c r="J62" s="3"/>
      <c r="K62" s="3"/>
      <c r="L62" s="52"/>
      <c r="M62" s="52"/>
    </row>
    <row r="63" spans="1:13" x14ac:dyDescent="0.25">
      <c r="A63" s="2" t="s">
        <v>236</v>
      </c>
      <c r="B63" s="3" t="s">
        <v>109</v>
      </c>
      <c r="C63" s="3"/>
      <c r="D63" s="2"/>
      <c r="E63" s="2"/>
      <c r="F63" s="2"/>
      <c r="G63" s="2"/>
      <c r="H63" s="2"/>
      <c r="I63" s="3"/>
      <c r="J63" s="2"/>
      <c r="K63" s="2"/>
      <c r="L63" s="51"/>
      <c r="M63" s="51"/>
    </row>
    <row r="64" spans="1:13" x14ac:dyDescent="0.25">
      <c r="A64" s="2" t="s">
        <v>236</v>
      </c>
      <c r="B64" s="3" t="s">
        <v>109</v>
      </c>
      <c r="C64" s="3"/>
      <c r="D64" s="2"/>
      <c r="E64" s="2"/>
      <c r="F64" s="2"/>
      <c r="G64" s="2"/>
      <c r="H64" s="2"/>
      <c r="I64" s="3"/>
      <c r="J64" s="2"/>
      <c r="K64" s="2"/>
      <c r="L64" s="51"/>
      <c r="M64" s="51"/>
    </row>
    <row r="65" spans="1:13" x14ac:dyDescent="0.25">
      <c r="A65" s="2" t="s">
        <v>236</v>
      </c>
      <c r="B65" s="3" t="s">
        <v>109</v>
      </c>
      <c r="C65" s="3"/>
      <c r="D65" s="2"/>
      <c r="E65" s="2"/>
      <c r="F65" s="2"/>
      <c r="G65" s="2"/>
      <c r="H65" s="2"/>
      <c r="I65" s="3"/>
      <c r="J65" s="2"/>
      <c r="K65" s="2"/>
      <c r="L65" s="51"/>
      <c r="M65" s="51"/>
    </row>
    <row r="66" spans="1:13" x14ac:dyDescent="0.25">
      <c r="A66" s="2" t="s">
        <v>236</v>
      </c>
      <c r="B66" s="3" t="s">
        <v>109</v>
      </c>
      <c r="C66" s="3"/>
      <c r="D66" s="2"/>
      <c r="E66" s="2"/>
      <c r="F66" s="2"/>
      <c r="G66" s="2"/>
      <c r="H66" s="2"/>
      <c r="I66" s="3"/>
      <c r="J66" s="2"/>
      <c r="K66" s="2"/>
      <c r="L66" s="51"/>
      <c r="M66" s="51"/>
    </row>
    <row r="67" spans="1:13" x14ac:dyDescent="0.25">
      <c r="A67" s="2" t="s">
        <v>236</v>
      </c>
      <c r="B67" s="3" t="s">
        <v>109</v>
      </c>
      <c r="C67" s="3"/>
      <c r="D67" s="2"/>
      <c r="E67" s="2"/>
      <c r="F67" s="2"/>
      <c r="G67" s="2"/>
      <c r="H67" s="2"/>
      <c r="I67" s="3"/>
      <c r="J67" s="2"/>
      <c r="K67" s="2"/>
      <c r="L67" s="51"/>
      <c r="M67" s="51"/>
    </row>
    <row r="68" spans="1:13" x14ac:dyDescent="0.25">
      <c r="A68" s="2" t="s">
        <v>236</v>
      </c>
      <c r="B68" s="3" t="s">
        <v>109</v>
      </c>
      <c r="C68" s="3"/>
      <c r="D68" s="2"/>
      <c r="E68" s="2"/>
      <c r="F68" s="2"/>
      <c r="G68" s="2"/>
      <c r="H68" s="2"/>
      <c r="I68" s="3"/>
      <c r="J68" s="2"/>
      <c r="K68" s="2"/>
      <c r="L68" s="51"/>
      <c r="M68" s="51"/>
    </row>
    <row r="69" spans="1:13" x14ac:dyDescent="0.25">
      <c r="A69" s="2" t="s">
        <v>236</v>
      </c>
      <c r="B69" s="3" t="s">
        <v>109</v>
      </c>
      <c r="C69" s="3"/>
      <c r="D69" s="2"/>
      <c r="E69" s="2"/>
      <c r="F69" s="2"/>
      <c r="G69" s="2"/>
      <c r="H69" s="2"/>
      <c r="I69" s="3"/>
      <c r="J69" s="2"/>
      <c r="K69" s="2"/>
      <c r="L69" s="51"/>
      <c r="M69" s="51"/>
    </row>
    <row r="70" spans="1:13" x14ac:dyDescent="0.25">
      <c r="A70" s="2" t="s">
        <v>237</v>
      </c>
      <c r="B70" s="3" t="s">
        <v>109</v>
      </c>
      <c r="C70" s="3"/>
      <c r="D70" s="2"/>
      <c r="E70" s="2"/>
      <c r="F70" s="2"/>
      <c r="G70" s="2"/>
      <c r="H70" s="2"/>
      <c r="I70" s="3"/>
      <c r="J70" s="2"/>
      <c r="K70" s="2"/>
      <c r="L70" s="51"/>
      <c r="M70" s="51"/>
    </row>
    <row r="71" spans="1:13" x14ac:dyDescent="0.25">
      <c r="A71" s="2" t="s">
        <v>237</v>
      </c>
      <c r="B71" s="3" t="s">
        <v>109</v>
      </c>
      <c r="C71" s="3"/>
      <c r="D71" s="2"/>
      <c r="E71" s="2"/>
      <c r="F71" s="2"/>
      <c r="G71" s="2"/>
      <c r="H71" s="2"/>
      <c r="I71" s="3"/>
      <c r="J71" s="2"/>
      <c r="K71" s="2"/>
      <c r="L71" s="51"/>
      <c r="M71" s="51"/>
    </row>
    <row r="72" spans="1:13" x14ac:dyDescent="0.25">
      <c r="A72" s="2" t="s">
        <v>237</v>
      </c>
      <c r="B72" s="3" t="s">
        <v>109</v>
      </c>
      <c r="C72" s="3"/>
      <c r="D72" s="2"/>
      <c r="E72" s="2"/>
      <c r="F72" s="2"/>
      <c r="G72" s="2"/>
      <c r="H72" s="2"/>
      <c r="I72" s="3"/>
      <c r="J72" s="2"/>
      <c r="K72" s="2"/>
      <c r="L72" s="51"/>
      <c r="M72" s="51"/>
    </row>
    <row r="73" spans="1:13" x14ac:dyDescent="0.25">
      <c r="A73" s="2" t="s">
        <v>237</v>
      </c>
      <c r="B73" s="3" t="s">
        <v>109</v>
      </c>
      <c r="C73" s="3"/>
      <c r="D73" s="2"/>
      <c r="E73" s="2"/>
      <c r="F73" s="2"/>
      <c r="G73" s="2"/>
      <c r="H73" s="2"/>
      <c r="I73" s="3"/>
      <c r="J73" s="2"/>
      <c r="K73" s="2"/>
      <c r="L73" s="51"/>
      <c r="M73" s="51"/>
    </row>
    <row r="74" spans="1:13" x14ac:dyDescent="0.25">
      <c r="A74" s="2" t="s">
        <v>237</v>
      </c>
      <c r="B74" s="3" t="s">
        <v>109</v>
      </c>
      <c r="C74" s="3"/>
      <c r="D74" s="2"/>
      <c r="E74" s="2"/>
      <c r="F74" s="2"/>
      <c r="G74" s="2"/>
      <c r="H74" s="2"/>
      <c r="I74" s="3"/>
      <c r="J74" s="2"/>
      <c r="K74" s="2"/>
      <c r="L74" s="51"/>
      <c r="M74" s="51"/>
    </row>
    <row r="75" spans="1:13" x14ac:dyDescent="0.25">
      <c r="A75" s="2" t="s">
        <v>238</v>
      </c>
      <c r="B75" s="3" t="s">
        <v>109</v>
      </c>
      <c r="C75" s="3"/>
      <c r="D75" s="2"/>
      <c r="E75" s="2"/>
      <c r="F75" s="2"/>
      <c r="G75" s="2"/>
      <c r="H75" s="2"/>
      <c r="I75" s="3"/>
      <c r="J75" s="2"/>
      <c r="K75" s="2"/>
      <c r="L75" s="51"/>
      <c r="M75" s="51"/>
    </row>
    <row r="76" spans="1:13" x14ac:dyDescent="0.25">
      <c r="A76" s="2" t="s">
        <v>238</v>
      </c>
      <c r="B76" s="3" t="s">
        <v>109</v>
      </c>
      <c r="C76" s="3"/>
      <c r="D76" s="2"/>
      <c r="E76" s="2"/>
      <c r="F76" s="2"/>
      <c r="G76" s="2"/>
      <c r="H76" s="2"/>
      <c r="I76" s="3"/>
      <c r="J76" s="2"/>
      <c r="K76" s="2"/>
      <c r="L76" s="51"/>
      <c r="M76" s="51"/>
    </row>
    <row r="77" spans="1:13" x14ac:dyDescent="0.25">
      <c r="A77" s="2" t="s">
        <v>238</v>
      </c>
      <c r="B77" s="3" t="s">
        <v>109</v>
      </c>
      <c r="C77" s="3"/>
      <c r="D77" s="2"/>
      <c r="E77" s="2"/>
      <c r="F77" s="2"/>
      <c r="G77" s="2"/>
      <c r="H77" s="2"/>
      <c r="I77" s="3"/>
      <c r="J77" s="2"/>
      <c r="K77" s="2"/>
      <c r="L77" s="51"/>
      <c r="M77" s="51"/>
    </row>
    <row r="78" spans="1:13" x14ac:dyDescent="0.25">
      <c r="A78" s="2" t="s">
        <v>238</v>
      </c>
      <c r="B78" s="3" t="s">
        <v>109</v>
      </c>
      <c r="C78" s="3"/>
      <c r="D78" s="2"/>
      <c r="E78" s="2"/>
      <c r="F78" s="2"/>
      <c r="G78" s="2"/>
      <c r="H78" s="2"/>
      <c r="I78" s="3"/>
      <c r="J78" s="2"/>
      <c r="K78" s="2"/>
      <c r="L78" s="51"/>
      <c r="M78" s="51"/>
    </row>
    <row r="79" spans="1:13" x14ac:dyDescent="0.25">
      <c r="A79" s="2" t="s">
        <v>238</v>
      </c>
      <c r="B79" s="3" t="s">
        <v>109</v>
      </c>
      <c r="C79" s="3"/>
      <c r="D79" s="2"/>
      <c r="E79" s="2"/>
      <c r="F79" s="2"/>
      <c r="G79" s="2"/>
      <c r="H79" s="2"/>
      <c r="I79" s="3"/>
      <c r="J79" s="2"/>
      <c r="K79" s="2"/>
      <c r="L79" s="51"/>
      <c r="M79" s="51"/>
    </row>
    <row r="80" spans="1:13" x14ac:dyDescent="0.25">
      <c r="A80" s="2" t="s">
        <v>238</v>
      </c>
      <c r="B80" s="3" t="s">
        <v>109</v>
      </c>
      <c r="C80" s="3"/>
      <c r="D80" s="2"/>
      <c r="E80" s="2"/>
      <c r="F80" s="2"/>
      <c r="G80" s="2"/>
      <c r="H80" s="2"/>
      <c r="I80" s="3"/>
      <c r="J80" s="2"/>
      <c r="K80" s="2"/>
      <c r="L80" s="51"/>
      <c r="M80" s="51"/>
    </row>
    <row r="81" spans="1:13" x14ac:dyDescent="0.25">
      <c r="A81" s="2" t="s">
        <v>238</v>
      </c>
      <c r="B81" s="3" t="s">
        <v>109</v>
      </c>
      <c r="C81" s="3"/>
      <c r="D81" s="2"/>
      <c r="E81" s="2"/>
      <c r="F81" s="2"/>
      <c r="G81" s="2"/>
      <c r="H81" s="2"/>
      <c r="I81" s="3"/>
      <c r="J81" s="2"/>
      <c r="K81" s="2"/>
      <c r="L81" s="51"/>
      <c r="M81" s="51"/>
    </row>
    <row r="82" spans="1:13" x14ac:dyDescent="0.25">
      <c r="A82" s="2" t="s">
        <v>238</v>
      </c>
      <c r="B82" s="3" t="s">
        <v>109</v>
      </c>
      <c r="C82" s="3"/>
      <c r="D82" s="2"/>
      <c r="E82" s="2"/>
      <c r="F82" s="2"/>
      <c r="G82" s="2"/>
      <c r="H82" s="2"/>
      <c r="I82" s="3"/>
      <c r="J82" s="2"/>
      <c r="K82" s="2"/>
      <c r="L82" s="51"/>
      <c r="M82" s="51"/>
    </row>
    <row r="83" spans="1:13" x14ac:dyDescent="0.25">
      <c r="A83" s="2" t="s">
        <v>238</v>
      </c>
      <c r="B83" s="3" t="s">
        <v>109</v>
      </c>
      <c r="C83" s="3"/>
      <c r="D83" s="2"/>
      <c r="E83" s="2"/>
      <c r="F83" s="2"/>
      <c r="G83" s="2"/>
      <c r="H83" s="2"/>
      <c r="I83" s="3"/>
      <c r="J83" s="2"/>
      <c r="K83" s="2"/>
      <c r="L83" s="51"/>
      <c r="M83" s="51"/>
    </row>
    <row r="84" spans="1:13" x14ac:dyDescent="0.25">
      <c r="A84" s="2" t="s">
        <v>238</v>
      </c>
      <c r="B84" s="3" t="s">
        <v>109</v>
      </c>
      <c r="C84" s="3"/>
      <c r="D84" s="2"/>
      <c r="E84" s="2"/>
      <c r="F84" s="2"/>
      <c r="G84" s="2"/>
      <c r="H84" s="2"/>
      <c r="I84" s="3"/>
      <c r="J84" s="2"/>
      <c r="K84" s="2"/>
      <c r="L84" s="51"/>
      <c r="M84" s="51"/>
    </row>
    <row r="85" spans="1:13" x14ac:dyDescent="0.25">
      <c r="A85" s="2" t="s">
        <v>238</v>
      </c>
      <c r="B85" s="3" t="s">
        <v>109</v>
      </c>
      <c r="C85" s="3"/>
      <c r="D85" s="2"/>
      <c r="E85" s="2"/>
      <c r="F85" s="2"/>
      <c r="G85" s="2"/>
      <c r="H85" s="2"/>
      <c r="I85" s="3"/>
      <c r="J85" s="2"/>
      <c r="K85" s="2"/>
      <c r="L85" s="51"/>
      <c r="M85" s="51"/>
    </row>
    <row r="86" spans="1:13" x14ac:dyDescent="0.25">
      <c r="A86" s="3" t="s">
        <v>238</v>
      </c>
      <c r="B86" s="3" t="s">
        <v>109</v>
      </c>
      <c r="C86" s="3"/>
      <c r="D86" s="2"/>
      <c r="E86" s="2"/>
      <c r="F86" s="2"/>
      <c r="G86" s="2"/>
      <c r="H86" s="2"/>
      <c r="I86" s="3"/>
      <c r="J86" s="2"/>
      <c r="K86" s="2"/>
      <c r="L86" s="51"/>
      <c r="M86" s="51"/>
    </row>
    <row r="87" spans="1:13" x14ac:dyDescent="0.25">
      <c r="A87" s="2" t="s">
        <v>215</v>
      </c>
      <c r="B87" s="3" t="s">
        <v>109</v>
      </c>
      <c r="C87" s="3"/>
      <c r="D87" s="2"/>
      <c r="E87" s="2"/>
      <c r="F87" s="2"/>
      <c r="G87" s="2"/>
      <c r="H87" s="2"/>
      <c r="I87" s="3"/>
      <c r="J87" s="2"/>
      <c r="K87" s="2"/>
      <c r="L87" s="51"/>
      <c r="M87" s="51"/>
    </row>
    <row r="88" spans="1:13" x14ac:dyDescent="0.25">
      <c r="A88" s="2" t="s">
        <v>215</v>
      </c>
      <c r="B88" s="3" t="s">
        <v>109</v>
      </c>
      <c r="C88" s="3"/>
      <c r="D88" s="2"/>
      <c r="E88" s="2"/>
      <c r="F88" s="2"/>
      <c r="G88" s="2"/>
      <c r="H88" s="2"/>
      <c r="I88" s="3"/>
      <c r="J88" s="2"/>
      <c r="K88" s="2"/>
      <c r="L88" s="51"/>
      <c r="M88" s="51"/>
    </row>
    <row r="89" spans="1:13" x14ac:dyDescent="0.25">
      <c r="A89" s="3" t="s">
        <v>215</v>
      </c>
      <c r="B89" s="3" t="s">
        <v>109</v>
      </c>
      <c r="C89" s="3"/>
      <c r="D89" s="2"/>
      <c r="E89" s="2"/>
      <c r="F89" s="2"/>
      <c r="G89" s="2"/>
      <c r="H89" s="2"/>
      <c r="I89" s="3"/>
      <c r="J89" s="2"/>
      <c r="K89" s="2"/>
      <c r="L89" s="51"/>
      <c r="M89" s="51"/>
    </row>
    <row r="90" spans="1:13" x14ac:dyDescent="0.25">
      <c r="A90" s="2" t="s">
        <v>215</v>
      </c>
      <c r="B90" s="3" t="s">
        <v>109</v>
      </c>
      <c r="C90" s="3"/>
      <c r="D90" s="2"/>
      <c r="E90" s="2"/>
      <c r="F90" s="2"/>
      <c r="G90" s="2"/>
      <c r="H90" s="2"/>
      <c r="I90" s="3"/>
      <c r="J90" s="2"/>
      <c r="K90" s="2"/>
      <c r="L90" s="51"/>
      <c r="M90" s="51"/>
    </row>
    <row r="91" spans="1:13" x14ac:dyDescent="0.25">
      <c r="A91" s="2" t="s">
        <v>215</v>
      </c>
      <c r="B91" s="3" t="s">
        <v>109</v>
      </c>
      <c r="C91" s="3"/>
      <c r="D91" s="2"/>
      <c r="E91" s="2"/>
      <c r="F91" s="2"/>
      <c r="G91" s="2"/>
      <c r="H91" s="2"/>
      <c r="I91" s="3"/>
      <c r="J91" s="2"/>
      <c r="K91" s="2"/>
      <c r="L91" s="51"/>
      <c r="M91" s="51"/>
    </row>
    <row r="92" spans="1:13" x14ac:dyDescent="0.25">
      <c r="A92" s="2" t="s">
        <v>215</v>
      </c>
      <c r="B92" s="3" t="s">
        <v>109</v>
      </c>
      <c r="C92" s="3"/>
      <c r="D92" s="2"/>
      <c r="E92" s="2"/>
      <c r="F92" s="2"/>
      <c r="G92" s="2"/>
      <c r="H92" s="2"/>
      <c r="I92" s="3"/>
      <c r="J92" s="2"/>
      <c r="K92" s="2"/>
      <c r="L92" s="51"/>
      <c r="M92" s="51"/>
    </row>
    <row r="93" spans="1:13" x14ac:dyDescent="0.25">
      <c r="A93" s="2"/>
      <c r="B93" s="3"/>
      <c r="C93" s="3"/>
      <c r="D93" s="2"/>
      <c r="E93" s="2"/>
      <c r="F93" s="2"/>
      <c r="G93" s="2"/>
      <c r="H93" s="2"/>
      <c r="I93" s="3"/>
      <c r="J93" s="2"/>
      <c r="K93" s="2"/>
      <c r="L93" s="51"/>
      <c r="M93" s="51"/>
    </row>
    <row r="94" spans="1:13" x14ac:dyDescent="0.25">
      <c r="A94" s="2"/>
      <c r="B94" s="3"/>
      <c r="C94" s="3"/>
      <c r="D94" s="2"/>
      <c r="E94" s="2"/>
      <c r="F94" s="2"/>
      <c r="G94" s="2"/>
      <c r="H94" s="2"/>
      <c r="I94" s="3"/>
      <c r="J94" s="2"/>
      <c r="K94" s="2"/>
      <c r="L94" s="51"/>
      <c r="M94" s="51"/>
    </row>
    <row r="95" spans="1:13" x14ac:dyDescent="0.25">
      <c r="A95" s="2"/>
      <c r="B95" s="3"/>
      <c r="C95" s="3"/>
      <c r="D95" s="2"/>
      <c r="E95" s="2"/>
      <c r="F95" s="2"/>
      <c r="G95" s="2"/>
      <c r="H95" s="2"/>
      <c r="I95" s="3"/>
      <c r="J95" s="2"/>
      <c r="K95" s="2"/>
      <c r="L95" s="51"/>
      <c r="M95" s="51"/>
    </row>
    <row r="96" spans="1:13" x14ac:dyDescent="0.25">
      <c r="A96" s="2"/>
      <c r="B96" s="3"/>
      <c r="C96" s="3"/>
      <c r="D96" s="2"/>
      <c r="E96" s="2"/>
      <c r="F96" s="2"/>
      <c r="G96" s="2"/>
      <c r="H96" s="2"/>
      <c r="I96" s="3"/>
      <c r="J96" s="2"/>
      <c r="K96" s="2"/>
      <c r="L96" s="51"/>
      <c r="M96" s="51"/>
    </row>
    <row r="97" spans="1:13" x14ac:dyDescent="0.25">
      <c r="A97" s="2"/>
      <c r="B97" s="3"/>
      <c r="C97" s="3"/>
      <c r="D97" s="2"/>
      <c r="E97" s="2"/>
      <c r="F97" s="2"/>
      <c r="G97" s="2"/>
      <c r="H97" s="2"/>
      <c r="I97" s="3"/>
      <c r="J97" s="2"/>
      <c r="K97" s="2"/>
      <c r="L97" s="51"/>
      <c r="M97" s="51"/>
    </row>
    <row r="98" spans="1:13" x14ac:dyDescent="0.25">
      <c r="A98" s="2"/>
      <c r="B98" s="3"/>
      <c r="C98" s="3"/>
      <c r="D98" s="2"/>
      <c r="E98" s="2"/>
      <c r="F98" s="2"/>
      <c r="G98" s="2"/>
      <c r="H98" s="2"/>
      <c r="I98" s="3"/>
      <c r="J98" s="2"/>
      <c r="K98" s="2"/>
      <c r="L98" s="51"/>
      <c r="M98" s="51"/>
    </row>
    <row r="99" spans="1:13" x14ac:dyDescent="0.25">
      <c r="A99" s="2"/>
      <c r="B99" s="3"/>
      <c r="C99" s="3"/>
      <c r="D99" s="2"/>
      <c r="E99" s="2"/>
      <c r="F99" s="2"/>
      <c r="G99" s="2"/>
      <c r="H99" s="2"/>
      <c r="I99" s="3"/>
      <c r="J99" s="2"/>
      <c r="K99" s="2"/>
      <c r="L99" s="51"/>
      <c r="M99" s="51"/>
    </row>
    <row r="100" spans="1:13" x14ac:dyDescent="0.25">
      <c r="A100" s="2"/>
      <c r="B100" s="3"/>
      <c r="C100" s="3"/>
      <c r="D100" s="2"/>
      <c r="E100" s="2"/>
      <c r="F100" s="2"/>
      <c r="G100" s="2"/>
      <c r="H100" s="2"/>
      <c r="I100" s="3"/>
      <c r="J100" s="2"/>
      <c r="K100" s="2"/>
      <c r="L100" s="51"/>
      <c r="M100" s="51"/>
    </row>
    <row r="101" spans="1:13" x14ac:dyDescent="0.25">
      <c r="A101" s="2"/>
      <c r="B101" s="3"/>
      <c r="C101" s="3"/>
      <c r="D101" s="2"/>
      <c r="E101" s="2"/>
      <c r="F101" s="2"/>
      <c r="G101" s="2"/>
      <c r="H101" s="2"/>
      <c r="I101" s="3"/>
      <c r="J101" s="2"/>
      <c r="K101" s="2"/>
      <c r="L101" s="51"/>
      <c r="M101" s="51"/>
    </row>
    <row r="102" spans="1:13" x14ac:dyDescent="0.25">
      <c r="A102" s="2"/>
      <c r="B102" s="3"/>
      <c r="C102" s="3"/>
      <c r="D102" s="2"/>
      <c r="E102" s="2"/>
      <c r="F102" s="2"/>
      <c r="G102" s="2"/>
      <c r="H102" s="2"/>
      <c r="I102" s="3"/>
      <c r="J102" s="2"/>
      <c r="K102" s="2"/>
      <c r="L102" s="51"/>
      <c r="M102" s="51"/>
    </row>
    <row r="103" spans="1:13" x14ac:dyDescent="0.25">
      <c r="A103" s="3"/>
      <c r="B103" s="3"/>
      <c r="C103" s="3"/>
      <c r="D103" s="2"/>
      <c r="E103" s="2"/>
      <c r="F103" s="2"/>
      <c r="G103" s="2"/>
      <c r="H103" s="2"/>
      <c r="I103" s="3"/>
      <c r="J103" s="2"/>
      <c r="K103" s="2"/>
      <c r="L103" s="51"/>
      <c r="M103" s="51"/>
    </row>
    <row r="104" spans="1:13" x14ac:dyDescent="0.25">
      <c r="A104" s="2"/>
      <c r="B104" s="3"/>
      <c r="C104" s="3"/>
      <c r="D104" s="2"/>
      <c r="E104" s="2"/>
      <c r="F104" s="2"/>
      <c r="G104" s="2"/>
      <c r="H104" s="2"/>
      <c r="I104" s="3"/>
      <c r="J104" s="2"/>
      <c r="K104" s="2"/>
      <c r="L104" s="51"/>
      <c r="M104" s="51"/>
    </row>
    <row r="105" spans="1:13" x14ac:dyDescent="0.25">
      <c r="A105" s="2"/>
      <c r="B105" s="3"/>
      <c r="C105" s="3"/>
      <c r="D105" s="2"/>
      <c r="E105" s="2"/>
      <c r="F105" s="2"/>
      <c r="G105" s="2"/>
      <c r="H105" s="2"/>
      <c r="I105" s="3"/>
      <c r="J105" s="2"/>
      <c r="K105" s="2"/>
      <c r="L105" s="51"/>
      <c r="M105" s="51"/>
    </row>
    <row r="106" spans="1:13" x14ac:dyDescent="0.25">
      <c r="A106" s="2"/>
      <c r="B106" s="3"/>
      <c r="C106" s="3"/>
      <c r="D106" s="2"/>
      <c r="E106" s="2"/>
      <c r="F106" s="2"/>
      <c r="G106" s="2"/>
      <c r="H106" s="2"/>
      <c r="I106" s="3"/>
      <c r="J106" s="2"/>
      <c r="K106" s="2"/>
      <c r="L106" s="51"/>
      <c r="M106" s="51"/>
    </row>
    <row r="107" spans="1:13" x14ac:dyDescent="0.25">
      <c r="A107" s="2"/>
      <c r="B107" s="3"/>
      <c r="C107" s="3"/>
      <c r="D107" s="2"/>
      <c r="E107" s="2"/>
      <c r="F107" s="2"/>
      <c r="G107" s="2"/>
      <c r="H107" s="2"/>
      <c r="I107" s="3"/>
      <c r="J107" s="2"/>
      <c r="K107" s="2"/>
      <c r="L107" s="51"/>
      <c r="M107" s="51"/>
    </row>
    <row r="108" spans="1:13" x14ac:dyDescent="0.25">
      <c r="A108" s="2"/>
      <c r="B108" s="3"/>
      <c r="C108" s="3"/>
      <c r="D108" s="2"/>
      <c r="E108" s="2"/>
      <c r="F108" s="2"/>
      <c r="G108" s="2"/>
      <c r="H108" s="2"/>
      <c r="I108" s="3"/>
      <c r="J108" s="2"/>
      <c r="K108" s="2"/>
      <c r="L108" s="51"/>
      <c r="M108" s="51"/>
    </row>
    <row r="109" spans="1:13" x14ac:dyDescent="0.25">
      <c r="A109" s="2"/>
      <c r="B109" s="3"/>
      <c r="C109" s="3"/>
      <c r="D109" s="2"/>
      <c r="E109" s="2"/>
      <c r="F109" s="2"/>
      <c r="G109" s="2"/>
      <c r="H109" s="2"/>
      <c r="I109" s="3"/>
      <c r="J109" s="2"/>
      <c r="K109" s="2"/>
      <c r="L109" s="51"/>
      <c r="M109" s="51"/>
    </row>
    <row r="110" spans="1:13" x14ac:dyDescent="0.25">
      <c r="A110" s="2"/>
      <c r="B110" s="3"/>
      <c r="C110" s="3"/>
      <c r="D110" s="2"/>
      <c r="E110" s="2"/>
      <c r="F110" s="2"/>
      <c r="G110" s="2"/>
      <c r="H110" s="2"/>
      <c r="I110" s="3"/>
      <c r="J110" s="2"/>
      <c r="K110" s="2"/>
      <c r="L110" s="51"/>
      <c r="M110" s="51"/>
    </row>
    <row r="111" spans="1:13" x14ac:dyDescent="0.25">
      <c r="A111" s="2"/>
      <c r="B111" s="3"/>
      <c r="C111" s="3"/>
      <c r="D111" s="2"/>
      <c r="E111" s="2"/>
      <c r="F111" s="2"/>
      <c r="G111" s="2"/>
      <c r="H111" s="2"/>
      <c r="I111" s="3"/>
      <c r="J111" s="2"/>
      <c r="K111" s="2"/>
      <c r="L111" s="51"/>
      <c r="M111" s="51"/>
    </row>
    <row r="112" spans="1:13" x14ac:dyDescent="0.25">
      <c r="A112" s="2"/>
      <c r="B112" s="3"/>
      <c r="C112" s="3"/>
      <c r="D112" s="2"/>
      <c r="E112" s="2"/>
      <c r="F112" s="2"/>
      <c r="G112" s="2"/>
      <c r="H112" s="2"/>
      <c r="I112" s="3"/>
      <c r="J112" s="2"/>
      <c r="K112" s="2"/>
      <c r="L112" s="51"/>
      <c r="M112" s="51"/>
    </row>
    <row r="113" spans="1:13" x14ac:dyDescent="0.25">
      <c r="A113" s="2"/>
      <c r="B113" s="3"/>
      <c r="C113" s="3"/>
      <c r="D113" s="2"/>
      <c r="E113" s="2"/>
      <c r="F113" s="2"/>
      <c r="G113" s="2"/>
      <c r="H113" s="2"/>
      <c r="I113" s="3"/>
      <c r="J113" s="2"/>
      <c r="K113" s="2"/>
      <c r="L113" s="51"/>
      <c r="M113" s="51"/>
    </row>
    <row r="114" spans="1:13" x14ac:dyDescent="0.25">
      <c r="A114" s="2"/>
      <c r="B114" s="3"/>
      <c r="C114" s="3"/>
      <c r="D114" s="2"/>
      <c r="E114" s="2"/>
      <c r="F114" s="2"/>
      <c r="G114" s="2"/>
      <c r="H114" s="2"/>
      <c r="I114" s="3"/>
      <c r="J114" s="2"/>
      <c r="K114" s="2"/>
      <c r="L114" s="51"/>
      <c r="M114" s="51"/>
    </row>
    <row r="115" spans="1:13" x14ac:dyDescent="0.25">
      <c r="A115" s="2"/>
      <c r="B115" s="3"/>
      <c r="C115" s="3"/>
      <c r="D115" s="2"/>
      <c r="E115" s="2"/>
      <c r="F115" s="2"/>
      <c r="G115" s="2"/>
      <c r="H115" s="2"/>
      <c r="I115" s="3"/>
      <c r="J115" s="2"/>
      <c r="K115" s="2"/>
      <c r="L115" s="51"/>
      <c r="M115" s="51"/>
    </row>
    <row r="116" spans="1:13" x14ac:dyDescent="0.25">
      <c r="A116" s="2"/>
      <c r="B116" s="3"/>
      <c r="C116" s="3"/>
      <c r="D116" s="2"/>
      <c r="E116" s="2"/>
      <c r="F116" s="2"/>
      <c r="G116" s="2"/>
      <c r="H116" s="2"/>
      <c r="I116" s="3"/>
      <c r="J116" s="2"/>
      <c r="K116" s="2"/>
      <c r="L116" s="51"/>
      <c r="M116" s="51"/>
    </row>
    <row r="117" spans="1:13" x14ac:dyDescent="0.25">
      <c r="A117" s="2"/>
      <c r="B117" s="3"/>
      <c r="C117" s="3"/>
      <c r="D117" s="2"/>
      <c r="E117" s="2"/>
      <c r="F117" s="2"/>
      <c r="G117" s="2"/>
      <c r="H117" s="2"/>
      <c r="I117" s="3"/>
      <c r="J117" s="2"/>
      <c r="K117" s="2"/>
      <c r="L117" s="51"/>
      <c r="M117" s="51"/>
    </row>
    <row r="118" spans="1:13" x14ac:dyDescent="0.25">
      <c r="A118" s="2"/>
      <c r="B118" s="3"/>
      <c r="C118" s="3"/>
      <c r="D118" s="2"/>
      <c r="E118" s="2"/>
      <c r="F118" s="2"/>
      <c r="G118" s="2"/>
      <c r="H118" s="2"/>
      <c r="I118" s="3"/>
      <c r="J118" s="2"/>
      <c r="K118" s="2"/>
      <c r="L118" s="51"/>
      <c r="M118" s="51"/>
    </row>
    <row r="119" spans="1:13" x14ac:dyDescent="0.25">
      <c r="A119" s="2"/>
      <c r="B119" s="3"/>
      <c r="C119" s="3"/>
      <c r="D119" s="2"/>
      <c r="E119" s="2"/>
      <c r="F119" s="2"/>
      <c r="G119" s="2"/>
      <c r="H119" s="2"/>
      <c r="I119" s="3"/>
      <c r="J119" s="2"/>
      <c r="K119" s="2"/>
      <c r="L119" s="51"/>
      <c r="M119" s="51"/>
    </row>
    <row r="120" spans="1:13" x14ac:dyDescent="0.25">
      <c r="A120" s="2"/>
      <c r="B120" s="3"/>
      <c r="C120" s="3"/>
      <c r="D120" s="2"/>
      <c r="E120" s="2"/>
      <c r="F120" s="2"/>
      <c r="G120" s="2"/>
      <c r="H120" s="2"/>
      <c r="I120" s="3"/>
      <c r="J120" s="2"/>
      <c r="K120" s="2"/>
      <c r="L120" s="51"/>
      <c r="M120" s="51"/>
    </row>
    <row r="121" spans="1:13" x14ac:dyDescent="0.25">
      <c r="A121" s="2"/>
      <c r="B121" s="3"/>
      <c r="C121" s="3"/>
      <c r="D121" s="2"/>
      <c r="E121" s="2"/>
      <c r="F121" s="2"/>
      <c r="G121" s="2"/>
      <c r="H121" s="2"/>
      <c r="I121" s="3"/>
      <c r="J121" s="2"/>
      <c r="K121" s="2"/>
      <c r="L121" s="51"/>
      <c r="M121" s="51"/>
    </row>
    <row r="122" spans="1:13" x14ac:dyDescent="0.25">
      <c r="A122" s="2"/>
      <c r="B122" s="3"/>
      <c r="C122" s="3"/>
      <c r="D122" s="2"/>
      <c r="E122" s="2"/>
      <c r="F122" s="2"/>
      <c r="G122" s="2"/>
      <c r="H122" s="2"/>
      <c r="I122" s="3"/>
      <c r="J122" s="2"/>
      <c r="K122" s="2"/>
      <c r="L122" s="51"/>
      <c r="M122" s="51"/>
    </row>
    <row r="123" spans="1:13" x14ac:dyDescent="0.25">
      <c r="A123" s="2"/>
      <c r="B123" s="3"/>
      <c r="C123" s="3"/>
      <c r="D123" s="2"/>
      <c r="E123" s="2"/>
      <c r="F123" s="2"/>
      <c r="G123" s="2"/>
      <c r="H123" s="2"/>
      <c r="I123" s="3"/>
      <c r="J123" s="2"/>
      <c r="K123" s="2"/>
      <c r="L123" s="51"/>
      <c r="M123" s="51"/>
    </row>
    <row r="124" spans="1:13" x14ac:dyDescent="0.25">
      <c r="A124" s="2"/>
      <c r="B124" s="3"/>
      <c r="C124" s="3"/>
      <c r="D124" s="2"/>
      <c r="E124" s="2"/>
      <c r="F124" s="2"/>
      <c r="G124" s="2"/>
      <c r="H124" s="2"/>
      <c r="I124" s="3"/>
      <c r="J124" s="2"/>
      <c r="K124" s="2"/>
      <c r="L124" s="51"/>
      <c r="M124" s="51"/>
    </row>
    <row r="125" spans="1:13" x14ac:dyDescent="0.25">
      <c r="A125" s="2"/>
      <c r="B125" s="3"/>
      <c r="C125" s="3"/>
      <c r="D125" s="2"/>
      <c r="E125" s="2"/>
      <c r="F125" s="2"/>
      <c r="G125" s="2"/>
      <c r="H125" s="2"/>
      <c r="I125" s="3"/>
      <c r="J125" s="2"/>
      <c r="K125" s="2"/>
      <c r="L125" s="51"/>
      <c r="M125" s="51"/>
    </row>
    <row r="126" spans="1:13" x14ac:dyDescent="0.25">
      <c r="A126" s="2"/>
      <c r="B126" s="3"/>
      <c r="C126" s="3"/>
      <c r="D126" s="2"/>
      <c r="E126" s="2"/>
      <c r="F126" s="2"/>
      <c r="G126" s="2"/>
      <c r="H126" s="2"/>
      <c r="I126" s="3"/>
      <c r="J126" s="2"/>
      <c r="K126" s="2"/>
      <c r="L126" s="51"/>
      <c r="M126" s="51"/>
    </row>
    <row r="127" spans="1:13" x14ac:dyDescent="0.25">
      <c r="A127" s="2"/>
      <c r="B127" s="3"/>
      <c r="C127" s="3"/>
      <c r="D127" s="2"/>
      <c r="E127" s="2"/>
      <c r="F127" s="2"/>
      <c r="G127" s="2"/>
      <c r="H127" s="2"/>
      <c r="I127" s="3"/>
      <c r="J127" s="2"/>
      <c r="K127" s="2"/>
      <c r="L127" s="51"/>
      <c r="M127" s="51"/>
    </row>
    <row r="128" spans="1:13" x14ac:dyDescent="0.25">
      <c r="A128" s="2"/>
      <c r="B128" s="3"/>
      <c r="C128" s="3"/>
      <c r="D128" s="2"/>
      <c r="E128" s="2"/>
      <c r="F128" s="2"/>
      <c r="G128" s="2"/>
      <c r="H128" s="2"/>
      <c r="I128" s="3"/>
      <c r="J128" s="2"/>
      <c r="K128" s="2"/>
      <c r="L128" s="51"/>
      <c r="M128" s="51"/>
    </row>
    <row r="129" spans="1:13" x14ac:dyDescent="0.25">
      <c r="A129" s="2"/>
      <c r="B129" s="3"/>
      <c r="C129" s="3"/>
      <c r="D129" s="2"/>
      <c r="E129" s="2"/>
      <c r="F129" s="2"/>
      <c r="G129" s="2"/>
      <c r="H129" s="2"/>
      <c r="I129" s="3"/>
      <c r="J129" s="2"/>
      <c r="K129" s="2"/>
      <c r="L129" s="51"/>
      <c r="M129" s="51"/>
    </row>
    <row r="130" spans="1:13" x14ac:dyDescent="0.25">
      <c r="A130" s="2"/>
      <c r="B130" s="3"/>
      <c r="C130" s="3"/>
      <c r="D130" s="2"/>
      <c r="E130" s="2"/>
      <c r="F130" s="2"/>
      <c r="G130" s="2"/>
      <c r="H130" s="2"/>
      <c r="I130" s="3"/>
      <c r="J130" s="2"/>
      <c r="K130" s="2"/>
      <c r="L130" s="51"/>
      <c r="M130" s="51"/>
    </row>
    <row r="131" spans="1:13" x14ac:dyDescent="0.25">
      <c r="A131" s="2"/>
      <c r="B131" s="3"/>
      <c r="C131" s="3"/>
      <c r="D131" s="2"/>
      <c r="E131" s="2"/>
      <c r="F131" s="2"/>
      <c r="G131" s="2"/>
      <c r="H131" s="2"/>
      <c r="I131" s="3"/>
      <c r="J131" s="2"/>
      <c r="K131" s="2"/>
      <c r="L131" s="51"/>
      <c r="M131" s="51"/>
    </row>
    <row r="132" spans="1:13" x14ac:dyDescent="0.25">
      <c r="A132" s="2"/>
      <c r="B132" s="3"/>
      <c r="C132" s="3"/>
      <c r="D132" s="2"/>
      <c r="E132" s="2"/>
      <c r="F132" s="2"/>
      <c r="G132" s="2"/>
      <c r="H132" s="2"/>
      <c r="I132" s="3"/>
      <c r="J132" s="2"/>
      <c r="K132" s="2"/>
      <c r="L132" s="51"/>
      <c r="M132" s="51"/>
    </row>
    <row r="133" spans="1:13" x14ac:dyDescent="0.25">
      <c r="A133" s="2"/>
      <c r="B133" s="3"/>
      <c r="C133" s="3"/>
      <c r="D133" s="2"/>
      <c r="E133" s="2"/>
      <c r="F133" s="2"/>
      <c r="G133" s="2"/>
      <c r="H133" s="2"/>
      <c r="I133" s="3"/>
      <c r="J133" s="2"/>
      <c r="K133" s="2"/>
      <c r="L133" s="51"/>
      <c r="M133" s="51"/>
    </row>
    <row r="134" spans="1:13" x14ac:dyDescent="0.25">
      <c r="A134" s="2"/>
      <c r="B134" s="3"/>
      <c r="C134" s="3"/>
      <c r="D134" s="2"/>
      <c r="E134" s="2"/>
      <c r="F134" s="2"/>
      <c r="G134" s="2"/>
      <c r="H134" s="2"/>
      <c r="I134" s="3"/>
      <c r="J134" s="2"/>
      <c r="K134" s="2"/>
      <c r="L134" s="51"/>
      <c r="M134" s="51"/>
    </row>
    <row r="135" spans="1:13" x14ac:dyDescent="0.25">
      <c r="A135" s="2"/>
      <c r="B135" s="3"/>
      <c r="C135" s="3"/>
      <c r="D135" s="2"/>
      <c r="E135" s="2"/>
      <c r="F135" s="2"/>
      <c r="G135" s="2"/>
      <c r="H135" s="2"/>
      <c r="I135" s="3"/>
      <c r="J135" s="2"/>
      <c r="K135" s="2"/>
      <c r="L135" s="51"/>
      <c r="M135" s="51"/>
    </row>
    <row r="136" spans="1:13" x14ac:dyDescent="0.25">
      <c r="A136" s="2"/>
      <c r="B136" s="3"/>
      <c r="C136" s="3"/>
      <c r="D136" s="2"/>
      <c r="E136" s="2"/>
      <c r="F136" s="2"/>
      <c r="G136" s="2"/>
      <c r="H136" s="2"/>
      <c r="I136" s="3"/>
      <c r="J136" s="2"/>
      <c r="K136" s="2"/>
      <c r="L136" s="51"/>
      <c r="M136" s="51"/>
    </row>
    <row r="137" spans="1:13" x14ac:dyDescent="0.25">
      <c r="A137" s="2"/>
      <c r="B137" s="3"/>
      <c r="C137" s="3"/>
      <c r="D137" s="2"/>
      <c r="E137" s="2"/>
      <c r="F137" s="2"/>
      <c r="G137" s="2"/>
      <c r="H137" s="2"/>
      <c r="I137" s="3"/>
      <c r="J137" s="2"/>
      <c r="K137" s="2"/>
      <c r="L137" s="51"/>
      <c r="M137" s="51"/>
    </row>
    <row r="138" spans="1:13" x14ac:dyDescent="0.25">
      <c r="A138" s="2"/>
      <c r="B138" s="3"/>
      <c r="C138" s="3"/>
      <c r="D138" s="2"/>
      <c r="E138" s="2"/>
      <c r="F138" s="2"/>
      <c r="G138" s="2"/>
      <c r="H138" s="2"/>
      <c r="I138" s="3"/>
      <c r="J138" s="2"/>
      <c r="K138" s="2"/>
      <c r="L138" s="51"/>
      <c r="M138" s="51"/>
    </row>
    <row r="139" spans="1:13" x14ac:dyDescent="0.25">
      <c r="A139" s="2"/>
      <c r="B139" s="3"/>
      <c r="C139" s="3"/>
      <c r="D139" s="2"/>
      <c r="E139" s="2"/>
      <c r="F139" s="2"/>
      <c r="G139" s="2"/>
      <c r="H139" s="2"/>
      <c r="I139" s="3"/>
      <c r="J139" s="2"/>
      <c r="K139" s="2"/>
      <c r="L139" s="51"/>
      <c r="M139" s="51"/>
    </row>
    <row r="140" spans="1:13" x14ac:dyDescent="0.25">
      <c r="A140" s="2"/>
      <c r="B140" s="3"/>
      <c r="C140" s="3"/>
      <c r="D140" s="2"/>
      <c r="E140" s="2"/>
      <c r="F140" s="2"/>
      <c r="G140" s="2"/>
      <c r="H140" s="2"/>
      <c r="I140" s="3"/>
      <c r="J140" s="2"/>
      <c r="K140" s="2"/>
      <c r="L140" s="51"/>
      <c r="M140" s="51"/>
    </row>
    <row r="141" spans="1:13" x14ac:dyDescent="0.25">
      <c r="A141" s="2"/>
      <c r="B141" s="3"/>
      <c r="C141" s="3"/>
      <c r="D141" s="2"/>
      <c r="E141" s="2"/>
      <c r="F141" s="2"/>
      <c r="G141" s="2"/>
      <c r="H141" s="2"/>
      <c r="I141" s="3"/>
      <c r="J141" s="2"/>
      <c r="K141" s="2"/>
      <c r="L141" s="51"/>
      <c r="M141" s="51"/>
    </row>
    <row r="142" spans="1:13" x14ac:dyDescent="0.25">
      <c r="A142" s="2"/>
      <c r="B142" s="3"/>
      <c r="C142" s="3"/>
      <c r="D142" s="2"/>
      <c r="E142" s="2"/>
      <c r="F142" s="2"/>
      <c r="G142" s="2"/>
      <c r="H142" s="2"/>
      <c r="I142" s="3"/>
      <c r="J142" s="2"/>
      <c r="K142" s="2"/>
      <c r="L142" s="51"/>
      <c r="M142" s="51"/>
    </row>
    <row r="143" spans="1:13" x14ac:dyDescent="0.25">
      <c r="A143" s="2"/>
      <c r="B143" s="3"/>
      <c r="C143" s="3"/>
      <c r="D143" s="2"/>
      <c r="E143" s="2"/>
      <c r="F143" s="2"/>
      <c r="G143" s="2"/>
      <c r="H143" s="2"/>
      <c r="I143" s="3"/>
      <c r="J143" s="2"/>
      <c r="K143" s="2"/>
      <c r="L143" s="51"/>
      <c r="M143" s="51"/>
    </row>
    <row r="144" spans="1:13" x14ac:dyDescent="0.25">
      <c r="A144" s="2"/>
      <c r="B144" s="3"/>
      <c r="C144" s="3"/>
      <c r="D144" s="2"/>
      <c r="E144" s="2"/>
      <c r="F144" s="2"/>
      <c r="G144" s="2"/>
      <c r="H144" s="2"/>
      <c r="I144" s="3"/>
      <c r="J144" s="2"/>
      <c r="K144" s="2"/>
      <c r="L144" s="51"/>
      <c r="M144" s="51"/>
    </row>
    <row r="145" spans="1:13" x14ac:dyDescent="0.25">
      <c r="A145" s="2"/>
      <c r="B145" s="3"/>
      <c r="C145" s="3"/>
      <c r="D145" s="2"/>
      <c r="E145" s="2"/>
      <c r="F145" s="2"/>
      <c r="G145" s="2"/>
      <c r="H145" s="2"/>
      <c r="I145" s="3"/>
      <c r="J145" s="2"/>
      <c r="K145" s="2"/>
      <c r="L145" s="51"/>
      <c r="M145" s="51"/>
    </row>
    <row r="146" spans="1:13" x14ac:dyDescent="0.25">
      <c r="A146" s="2"/>
      <c r="B146" s="3"/>
      <c r="C146" s="3"/>
      <c r="D146" s="2"/>
      <c r="E146" s="2"/>
      <c r="F146" s="2"/>
      <c r="G146" s="2"/>
      <c r="H146" s="2"/>
      <c r="I146" s="3"/>
      <c r="J146" s="2"/>
      <c r="K146" s="2"/>
      <c r="L146" s="51"/>
      <c r="M146" s="51"/>
    </row>
    <row r="147" spans="1:13" x14ac:dyDescent="0.25">
      <c r="A147" s="2"/>
      <c r="B147" s="3"/>
      <c r="C147" s="3"/>
      <c r="D147" s="2"/>
      <c r="E147" s="2"/>
      <c r="F147" s="2"/>
      <c r="G147" s="2"/>
      <c r="H147" s="2"/>
      <c r="I147" s="3"/>
      <c r="J147" s="2"/>
      <c r="K147" s="2"/>
      <c r="L147" s="51"/>
      <c r="M147" s="51"/>
    </row>
    <row r="148" spans="1:13" x14ac:dyDescent="0.25">
      <c r="A148" s="2"/>
      <c r="B148" s="3"/>
      <c r="C148" s="3"/>
      <c r="D148" s="2"/>
      <c r="E148" s="2"/>
      <c r="F148" s="2"/>
      <c r="G148" s="2"/>
      <c r="H148" s="2"/>
      <c r="I148" s="3"/>
      <c r="J148" s="2"/>
      <c r="K148" s="2"/>
      <c r="L148" s="51"/>
      <c r="M148" s="51"/>
    </row>
    <row r="149" spans="1:13" x14ac:dyDescent="0.25">
      <c r="A149" s="2"/>
      <c r="B149" s="3"/>
      <c r="C149" s="3"/>
      <c r="D149" s="2"/>
      <c r="E149" s="2"/>
      <c r="F149" s="2"/>
      <c r="G149" s="2"/>
      <c r="H149" s="2"/>
      <c r="I149" s="3"/>
      <c r="J149" s="2"/>
      <c r="K149" s="2"/>
      <c r="L149" s="51"/>
      <c r="M149" s="51"/>
    </row>
    <row r="150" spans="1:13" x14ac:dyDescent="0.25">
      <c r="A150" s="2"/>
      <c r="B150" s="3"/>
      <c r="C150" s="3"/>
      <c r="D150" s="2"/>
      <c r="E150" s="2"/>
      <c r="F150" s="2"/>
      <c r="G150" s="2"/>
      <c r="H150" s="2"/>
      <c r="I150" s="3"/>
      <c r="J150" s="2"/>
      <c r="K150" s="2"/>
      <c r="L150" s="51"/>
      <c r="M150" s="51"/>
    </row>
    <row r="151" spans="1:13" x14ac:dyDescent="0.25">
      <c r="A151" s="2"/>
      <c r="B151" s="3"/>
      <c r="C151" s="3"/>
      <c r="D151" s="2"/>
      <c r="E151" s="2"/>
      <c r="F151" s="2"/>
      <c r="G151" s="2"/>
      <c r="H151" s="2"/>
      <c r="I151" s="3"/>
      <c r="J151" s="2"/>
      <c r="K151" s="2"/>
      <c r="L151" s="51"/>
      <c r="M151" s="51"/>
    </row>
  </sheetData>
  <sortState ref="N24:P31">
    <sortCondition ref="O24:O31"/>
  </sortState>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A3" sqref="A3"/>
    </sheetView>
  </sheetViews>
  <sheetFormatPr defaultRowHeight="15" x14ac:dyDescent="0.25"/>
  <cols>
    <col min="2" max="2" width="10.5703125" bestFit="1" customWidth="1"/>
  </cols>
  <sheetData>
    <row r="1" spans="1:5" x14ac:dyDescent="0.25">
      <c r="A1" s="43" t="s">
        <v>455</v>
      </c>
    </row>
    <row r="2" spans="1:5" s="19" customFormat="1" x14ac:dyDescent="0.25">
      <c r="A2" s="43"/>
    </row>
    <row r="3" spans="1:5" x14ac:dyDescent="0.25">
      <c r="A3" s="59" t="s">
        <v>599</v>
      </c>
    </row>
    <row r="5" spans="1:5" x14ac:dyDescent="0.25">
      <c r="A5" s="2" t="s">
        <v>236</v>
      </c>
      <c r="B5" s="5">
        <v>8000</v>
      </c>
      <c r="D5" s="43" t="s">
        <v>456</v>
      </c>
      <c r="E5" s="43"/>
    </row>
    <row r="6" spans="1:5" x14ac:dyDescent="0.25">
      <c r="A6" s="2" t="s">
        <v>215</v>
      </c>
      <c r="B6" s="5">
        <v>8000</v>
      </c>
      <c r="D6" s="43" t="s">
        <v>457</v>
      </c>
      <c r="E6" s="57">
        <f>B31/25</f>
        <v>984500.56</v>
      </c>
    </row>
    <row r="7" spans="1:5" x14ac:dyDescent="0.25">
      <c r="A7" s="2" t="s">
        <v>238</v>
      </c>
      <c r="B7" s="5">
        <v>10000</v>
      </c>
      <c r="D7" s="43" t="s">
        <v>251</v>
      </c>
      <c r="E7" s="57">
        <v>89643</v>
      </c>
    </row>
    <row r="8" spans="1:5" x14ac:dyDescent="0.25">
      <c r="A8" s="2" t="s">
        <v>238</v>
      </c>
      <c r="B8" s="5">
        <v>14917</v>
      </c>
    </row>
    <row r="9" spans="1:5" s="19" customFormat="1" x14ac:dyDescent="0.25">
      <c r="A9" s="2" t="s">
        <v>236</v>
      </c>
      <c r="B9" s="5">
        <v>16000</v>
      </c>
    </row>
    <row r="10" spans="1:5" x14ac:dyDescent="0.25">
      <c r="A10" s="2" t="s">
        <v>238</v>
      </c>
      <c r="B10" s="5">
        <v>25000</v>
      </c>
    </row>
    <row r="11" spans="1:5" x14ac:dyDescent="0.25">
      <c r="A11" s="2" t="s">
        <v>236</v>
      </c>
      <c r="B11" s="5">
        <v>30000</v>
      </c>
    </row>
    <row r="12" spans="1:5" x14ac:dyDescent="0.25">
      <c r="A12" s="2" t="s">
        <v>237</v>
      </c>
      <c r="B12" s="5">
        <v>40000</v>
      </c>
    </row>
    <row r="13" spans="1:5" x14ac:dyDescent="0.25">
      <c r="A13" s="2" t="s">
        <v>237</v>
      </c>
      <c r="B13" s="5">
        <v>49859</v>
      </c>
    </row>
    <row r="14" spans="1:5" s="19" customFormat="1" x14ac:dyDescent="0.25">
      <c r="A14" s="2" t="s">
        <v>236</v>
      </c>
      <c r="B14" s="5">
        <v>50000</v>
      </c>
    </row>
    <row r="15" spans="1:5" x14ac:dyDescent="0.25">
      <c r="A15" s="2" t="s">
        <v>236</v>
      </c>
      <c r="B15" s="55">
        <v>55000</v>
      </c>
    </row>
    <row r="16" spans="1:5" x14ac:dyDescent="0.25">
      <c r="A16" s="2" t="s">
        <v>238</v>
      </c>
      <c r="B16" s="5">
        <v>65000</v>
      </c>
    </row>
    <row r="17" spans="1:2" x14ac:dyDescent="0.25">
      <c r="A17" s="2" t="s">
        <v>236</v>
      </c>
      <c r="B17" s="5">
        <v>89643</v>
      </c>
    </row>
    <row r="18" spans="1:2" x14ac:dyDescent="0.25">
      <c r="A18" s="2" t="s">
        <v>236</v>
      </c>
      <c r="B18" s="5">
        <v>89741</v>
      </c>
    </row>
    <row r="19" spans="1:2" x14ac:dyDescent="0.25">
      <c r="A19" s="2" t="s">
        <v>236</v>
      </c>
      <c r="B19" s="5">
        <v>170000</v>
      </c>
    </row>
    <row r="20" spans="1:2" x14ac:dyDescent="0.25">
      <c r="A20" s="2" t="s">
        <v>236</v>
      </c>
      <c r="B20" s="5">
        <v>182812</v>
      </c>
    </row>
    <row r="21" spans="1:2" x14ac:dyDescent="0.25">
      <c r="A21" s="2" t="s">
        <v>236</v>
      </c>
      <c r="B21" s="5">
        <v>415000</v>
      </c>
    </row>
    <row r="22" spans="1:2" x14ac:dyDescent="0.25">
      <c r="A22" s="2" t="s">
        <v>236</v>
      </c>
      <c r="B22" s="5">
        <v>728390</v>
      </c>
    </row>
    <row r="23" spans="1:2" s="19" customFormat="1" x14ac:dyDescent="0.25">
      <c r="A23" s="2" t="s">
        <v>215</v>
      </c>
      <c r="B23" s="5">
        <v>1000000</v>
      </c>
    </row>
    <row r="24" spans="1:2" x14ac:dyDescent="0.25">
      <c r="A24" s="2" t="s">
        <v>238</v>
      </c>
      <c r="B24" s="5">
        <v>1074836</v>
      </c>
    </row>
    <row r="25" spans="1:2" x14ac:dyDescent="0.25">
      <c r="A25" s="2" t="s">
        <v>215</v>
      </c>
      <c r="B25" s="5">
        <v>1700000</v>
      </c>
    </row>
    <row r="26" spans="1:2" x14ac:dyDescent="0.25">
      <c r="A26" s="2" t="s">
        <v>215</v>
      </c>
      <c r="B26" s="5">
        <v>2000000</v>
      </c>
    </row>
    <row r="27" spans="1:2" x14ac:dyDescent="0.25">
      <c r="A27" s="2" t="s">
        <v>237</v>
      </c>
      <c r="B27" s="5">
        <v>2500000</v>
      </c>
    </row>
    <row r="28" spans="1:2" x14ac:dyDescent="0.25">
      <c r="A28" s="2" t="s">
        <v>236</v>
      </c>
      <c r="B28" s="5">
        <v>4586181</v>
      </c>
    </row>
    <row r="29" spans="1:2" x14ac:dyDescent="0.25">
      <c r="A29" s="2" t="s">
        <v>237</v>
      </c>
      <c r="B29" s="5">
        <v>9704135</v>
      </c>
    </row>
    <row r="31" spans="1:2" x14ac:dyDescent="0.25">
      <c r="B31" s="58">
        <f>SUM(B5:B30)</f>
        <v>24612514</v>
      </c>
    </row>
  </sheetData>
  <sortState ref="A4:B151">
    <sortCondition ref="B4:B151"/>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1"/>
  <sheetViews>
    <sheetView workbookViewId="0"/>
  </sheetViews>
  <sheetFormatPr defaultRowHeight="15" x14ac:dyDescent="0.25"/>
  <cols>
    <col min="1" max="1" width="14.7109375" customWidth="1"/>
    <col min="2" max="2" width="95.7109375" customWidth="1"/>
    <col min="3" max="3" width="31" customWidth="1"/>
    <col min="4" max="4" width="9.140625" customWidth="1"/>
    <col min="5" max="5" width="8.140625" customWidth="1"/>
    <col min="6" max="6" width="9.85546875" customWidth="1"/>
  </cols>
  <sheetData>
    <row r="1" spans="1:7" x14ac:dyDescent="0.25">
      <c r="A1" s="15" t="s">
        <v>458</v>
      </c>
    </row>
    <row r="3" spans="1:7" x14ac:dyDescent="0.25">
      <c r="C3" s="43" t="s">
        <v>442</v>
      </c>
      <c r="D3" s="43"/>
      <c r="E3" s="43"/>
      <c r="F3" s="39">
        <v>2015</v>
      </c>
    </row>
    <row r="4" spans="1:7" x14ac:dyDescent="0.25">
      <c r="A4" s="2" t="s">
        <v>236</v>
      </c>
      <c r="B4" s="2" t="s">
        <v>119</v>
      </c>
      <c r="C4" s="43" t="s">
        <v>459</v>
      </c>
      <c r="D4" s="60">
        <f>9/88</f>
        <v>0.10227272727272728</v>
      </c>
      <c r="E4" s="43"/>
      <c r="F4" s="60">
        <f>11/103</f>
        <v>0.10679611650485436</v>
      </c>
      <c r="G4" s="19"/>
    </row>
    <row r="5" spans="1:7" x14ac:dyDescent="0.25">
      <c r="A5" s="2" t="s">
        <v>238</v>
      </c>
      <c r="B5" s="2" t="s">
        <v>119</v>
      </c>
      <c r="C5" s="43" t="s">
        <v>460</v>
      </c>
      <c r="D5" s="60">
        <f>10/88</f>
        <v>0.11363636363636363</v>
      </c>
      <c r="E5" s="43"/>
      <c r="F5" s="60">
        <f>12/103</f>
        <v>0.11650485436893204</v>
      </c>
      <c r="G5" s="19"/>
    </row>
    <row r="6" spans="1:7" x14ac:dyDescent="0.25">
      <c r="A6" s="2" t="s">
        <v>238</v>
      </c>
      <c r="B6" s="2" t="s">
        <v>119</v>
      </c>
      <c r="C6" s="43" t="s">
        <v>461</v>
      </c>
      <c r="D6" s="60">
        <f>8/88</f>
        <v>9.0909090909090912E-2</v>
      </c>
      <c r="E6" s="43"/>
      <c r="F6" s="60">
        <f>15/103</f>
        <v>0.14563106796116504</v>
      </c>
      <c r="G6" s="19"/>
    </row>
    <row r="7" spans="1:7" x14ac:dyDescent="0.25">
      <c r="A7" s="2" t="s">
        <v>238</v>
      </c>
      <c r="B7" s="2" t="s">
        <v>119</v>
      </c>
      <c r="C7" s="43" t="s">
        <v>462</v>
      </c>
      <c r="D7" s="60">
        <f>52/88</f>
        <v>0.59090909090909094</v>
      </c>
      <c r="E7" s="43"/>
      <c r="F7" s="60">
        <f>61/103</f>
        <v>0.59223300970873782</v>
      </c>
      <c r="G7" s="19"/>
    </row>
    <row r="8" spans="1:7" x14ac:dyDescent="0.25">
      <c r="A8" s="2" t="s">
        <v>238</v>
      </c>
      <c r="B8" s="2" t="s">
        <v>119</v>
      </c>
      <c r="C8" s="43" t="s">
        <v>463</v>
      </c>
      <c r="D8" s="60">
        <f>9/88</f>
        <v>0.10227272727272728</v>
      </c>
      <c r="E8" s="43"/>
      <c r="F8" s="60">
        <f>4/103</f>
        <v>3.8834951456310676E-2</v>
      </c>
      <c r="G8" s="19"/>
    </row>
    <row r="9" spans="1:7" x14ac:dyDescent="0.25">
      <c r="A9" s="2" t="s">
        <v>238</v>
      </c>
      <c r="B9" s="2" t="s">
        <v>119</v>
      </c>
      <c r="C9" s="43"/>
      <c r="D9" s="43"/>
      <c r="E9" s="43"/>
      <c r="F9" s="43"/>
    </row>
    <row r="10" spans="1:7" x14ac:dyDescent="0.25">
      <c r="A10" s="2" t="s">
        <v>238</v>
      </c>
      <c r="B10" s="2" t="s">
        <v>119</v>
      </c>
    </row>
    <row r="11" spans="1:7" x14ac:dyDescent="0.25">
      <c r="A11" s="2" t="s">
        <v>238</v>
      </c>
      <c r="B11" s="2" t="s">
        <v>119</v>
      </c>
    </row>
    <row r="12" spans="1:7" x14ac:dyDescent="0.25">
      <c r="A12" s="2" t="s">
        <v>238</v>
      </c>
      <c r="B12" s="2" t="s">
        <v>119</v>
      </c>
    </row>
    <row r="13" spans="1:7" x14ac:dyDescent="0.25">
      <c r="A13" s="2" t="s">
        <v>236</v>
      </c>
      <c r="B13" s="2" t="s">
        <v>117</v>
      </c>
    </row>
    <row r="14" spans="1:7" x14ac:dyDescent="0.25">
      <c r="A14" s="2" t="s">
        <v>236</v>
      </c>
      <c r="B14" s="2" t="s">
        <v>117</v>
      </c>
    </row>
    <row r="15" spans="1:7" x14ac:dyDescent="0.25">
      <c r="A15" s="2" t="s">
        <v>236</v>
      </c>
      <c r="B15" s="2" t="s">
        <v>117</v>
      </c>
    </row>
    <row r="16" spans="1:7" x14ac:dyDescent="0.25">
      <c r="A16" s="2" t="s">
        <v>236</v>
      </c>
      <c r="B16" s="2" t="s">
        <v>117</v>
      </c>
    </row>
    <row r="17" spans="1:2" x14ac:dyDescent="0.25">
      <c r="A17" s="2" t="s">
        <v>236</v>
      </c>
      <c r="B17" s="2" t="s">
        <v>117</v>
      </c>
    </row>
    <row r="18" spans="1:2" x14ac:dyDescent="0.25">
      <c r="A18" s="2" t="s">
        <v>236</v>
      </c>
      <c r="B18" s="2" t="s">
        <v>117</v>
      </c>
    </row>
    <row r="19" spans="1:2" x14ac:dyDescent="0.25">
      <c r="A19" s="2" t="s">
        <v>236</v>
      </c>
      <c r="B19" s="2" t="s">
        <v>117</v>
      </c>
    </row>
    <row r="20" spans="1:2" x14ac:dyDescent="0.25">
      <c r="A20" s="2" t="s">
        <v>236</v>
      </c>
      <c r="B20" s="3" t="s">
        <v>117</v>
      </c>
    </row>
    <row r="21" spans="1:2" x14ac:dyDescent="0.25">
      <c r="A21" s="2" t="s">
        <v>236</v>
      </c>
      <c r="B21" s="3" t="s">
        <v>117</v>
      </c>
    </row>
    <row r="22" spans="1:2" x14ac:dyDescent="0.25">
      <c r="A22" s="2" t="s">
        <v>236</v>
      </c>
      <c r="B22" s="2" t="s">
        <v>117</v>
      </c>
    </row>
    <row r="23" spans="1:2" x14ac:dyDescent="0.25">
      <c r="A23" s="2" t="s">
        <v>236</v>
      </c>
      <c r="B23" s="2" t="s">
        <v>117</v>
      </c>
    </row>
    <row r="24" spans="1:2" x14ac:dyDescent="0.25">
      <c r="A24" s="2" t="s">
        <v>236</v>
      </c>
      <c r="B24" s="2" t="s">
        <v>117</v>
      </c>
    </row>
    <row r="25" spans="1:2" x14ac:dyDescent="0.25">
      <c r="A25" s="2" t="s">
        <v>236</v>
      </c>
      <c r="B25" s="2" t="s">
        <v>117</v>
      </c>
    </row>
    <row r="26" spans="1:2" x14ac:dyDescent="0.25">
      <c r="A26" s="2" t="s">
        <v>236</v>
      </c>
      <c r="B26" s="2" t="s">
        <v>117</v>
      </c>
    </row>
    <row r="27" spans="1:2" x14ac:dyDescent="0.25">
      <c r="A27" s="2" t="s">
        <v>236</v>
      </c>
      <c r="B27" s="2" t="s">
        <v>117</v>
      </c>
    </row>
    <row r="28" spans="1:2" x14ac:dyDescent="0.25">
      <c r="A28" s="2" t="s">
        <v>236</v>
      </c>
      <c r="B28" s="2" t="s">
        <v>117</v>
      </c>
    </row>
    <row r="29" spans="1:2" x14ac:dyDescent="0.25">
      <c r="A29" s="2" t="s">
        <v>236</v>
      </c>
      <c r="B29" s="2" t="s">
        <v>117</v>
      </c>
    </row>
    <row r="30" spans="1:2" x14ac:dyDescent="0.25">
      <c r="A30" s="2" t="s">
        <v>237</v>
      </c>
      <c r="B30" s="2" t="s">
        <v>117</v>
      </c>
    </row>
    <row r="31" spans="1:2" x14ac:dyDescent="0.25">
      <c r="A31" s="2" t="s">
        <v>237</v>
      </c>
      <c r="B31" s="2" t="s">
        <v>117</v>
      </c>
    </row>
    <row r="32" spans="1:2" x14ac:dyDescent="0.25">
      <c r="A32" s="2" t="s">
        <v>238</v>
      </c>
      <c r="B32" s="2" t="s">
        <v>117</v>
      </c>
    </row>
    <row r="33" spans="1:7" x14ac:dyDescent="0.25">
      <c r="A33" s="2" t="s">
        <v>238</v>
      </c>
      <c r="B33" s="2" t="s">
        <v>117</v>
      </c>
    </row>
    <row r="34" spans="1:7" x14ac:dyDescent="0.25">
      <c r="A34" s="2" t="s">
        <v>238</v>
      </c>
      <c r="B34" s="2" t="s">
        <v>117</v>
      </c>
    </row>
    <row r="35" spans="1:7" x14ac:dyDescent="0.25">
      <c r="A35" s="2" t="s">
        <v>238</v>
      </c>
      <c r="B35" s="2" t="s">
        <v>117</v>
      </c>
      <c r="C35" t="s">
        <v>481</v>
      </c>
    </row>
    <row r="36" spans="1:7" x14ac:dyDescent="0.25">
      <c r="A36" s="2" t="s">
        <v>238</v>
      </c>
      <c r="B36" s="2" t="s">
        <v>117</v>
      </c>
      <c r="D36" s="43" t="s">
        <v>462</v>
      </c>
      <c r="E36" s="43" t="s">
        <v>461</v>
      </c>
      <c r="F36" s="43" t="s">
        <v>460</v>
      </c>
      <c r="G36" s="43" t="s">
        <v>459</v>
      </c>
    </row>
    <row r="37" spans="1:7" x14ac:dyDescent="0.25">
      <c r="A37" s="2" t="s">
        <v>238</v>
      </c>
      <c r="B37" s="2" t="s">
        <v>117</v>
      </c>
      <c r="C37" t="s">
        <v>310</v>
      </c>
      <c r="D37" s="24">
        <f>-3/9</f>
        <v>-0.33333333333333331</v>
      </c>
      <c r="E37" s="24">
        <f>3/9</f>
        <v>0.33333333333333331</v>
      </c>
      <c r="F37" s="24">
        <f>1/9</f>
        <v>0.1111111111111111</v>
      </c>
      <c r="G37" s="63">
        <f>2/9</f>
        <v>0.22222222222222221</v>
      </c>
    </row>
    <row r="38" spans="1:7" x14ac:dyDescent="0.25">
      <c r="A38" s="2" t="s">
        <v>238</v>
      </c>
      <c r="B38" s="2" t="s">
        <v>117</v>
      </c>
      <c r="C38" t="s">
        <v>274</v>
      </c>
      <c r="D38" s="24">
        <f>-2/5</f>
        <v>-0.4</v>
      </c>
      <c r="E38" s="24">
        <f>0/5</f>
        <v>0</v>
      </c>
      <c r="F38" s="24">
        <f>1/5</f>
        <v>0.2</v>
      </c>
      <c r="G38" s="24">
        <f>2/5</f>
        <v>0.4</v>
      </c>
    </row>
    <row r="39" spans="1:7" x14ac:dyDescent="0.25">
      <c r="A39" s="2" t="s">
        <v>238</v>
      </c>
      <c r="B39" s="2" t="s">
        <v>117</v>
      </c>
      <c r="C39" t="s">
        <v>568</v>
      </c>
      <c r="D39" s="24">
        <f>-30/39</f>
        <v>-0.76923076923076927</v>
      </c>
      <c r="E39" s="24">
        <f>4/39</f>
        <v>0.10256410256410256</v>
      </c>
      <c r="F39" s="24">
        <f>4/39</f>
        <v>0.10256410256410256</v>
      </c>
      <c r="G39" s="24">
        <f>1/39</f>
        <v>2.564102564102564E-2</v>
      </c>
    </row>
    <row r="40" spans="1:7" x14ac:dyDescent="0.25">
      <c r="A40" s="2" t="s">
        <v>238</v>
      </c>
      <c r="B40" s="2" t="s">
        <v>117</v>
      </c>
      <c r="C40" t="s">
        <v>322</v>
      </c>
      <c r="D40" s="24">
        <f>-17/26</f>
        <v>-0.65384615384615385</v>
      </c>
      <c r="E40" s="24">
        <f>1/26</f>
        <v>3.8461538461538464E-2</v>
      </c>
      <c r="F40" s="24">
        <f>4/26</f>
        <v>0.15384615384615385</v>
      </c>
      <c r="G40" s="24">
        <f>4/26</f>
        <v>0.15384615384615385</v>
      </c>
    </row>
    <row r="41" spans="1:7" x14ac:dyDescent="0.25">
      <c r="A41" s="2" t="s">
        <v>238</v>
      </c>
      <c r="B41" s="2" t="s">
        <v>117</v>
      </c>
    </row>
    <row r="42" spans="1:7" x14ac:dyDescent="0.25">
      <c r="A42" s="2" t="s">
        <v>238</v>
      </c>
      <c r="B42" s="2" t="s">
        <v>117</v>
      </c>
    </row>
    <row r="43" spans="1:7" x14ac:dyDescent="0.25">
      <c r="A43" s="2" t="s">
        <v>238</v>
      </c>
      <c r="B43" s="2" t="s">
        <v>117</v>
      </c>
    </row>
    <row r="44" spans="1:7" x14ac:dyDescent="0.25">
      <c r="A44" s="2" t="s">
        <v>238</v>
      </c>
      <c r="B44" s="2" t="s">
        <v>117</v>
      </c>
    </row>
    <row r="45" spans="1:7" x14ac:dyDescent="0.25">
      <c r="A45" s="2" t="s">
        <v>238</v>
      </c>
      <c r="B45" s="2" t="s">
        <v>117</v>
      </c>
    </row>
    <row r="46" spans="1:7" x14ac:dyDescent="0.25">
      <c r="A46" s="2" t="s">
        <v>238</v>
      </c>
      <c r="B46" s="2" t="s">
        <v>117</v>
      </c>
    </row>
    <row r="47" spans="1:7" x14ac:dyDescent="0.25">
      <c r="A47" s="2" t="s">
        <v>238</v>
      </c>
      <c r="B47" s="2" t="s">
        <v>117</v>
      </c>
    </row>
    <row r="48" spans="1:7" x14ac:dyDescent="0.25">
      <c r="A48" s="2" t="s">
        <v>238</v>
      </c>
      <c r="B48" s="2" t="s">
        <v>117</v>
      </c>
    </row>
    <row r="49" spans="1:2" x14ac:dyDescent="0.25">
      <c r="A49" s="2" t="s">
        <v>238</v>
      </c>
      <c r="B49" s="2" t="s">
        <v>117</v>
      </c>
    </row>
    <row r="50" spans="1:2" x14ac:dyDescent="0.25">
      <c r="A50" s="2" t="s">
        <v>238</v>
      </c>
      <c r="B50" s="2" t="s">
        <v>117</v>
      </c>
    </row>
    <row r="51" spans="1:2" x14ac:dyDescent="0.25">
      <c r="A51" s="2" t="s">
        <v>238</v>
      </c>
      <c r="B51" s="2" t="s">
        <v>117</v>
      </c>
    </row>
    <row r="52" spans="1:2" x14ac:dyDescent="0.25">
      <c r="A52" s="2" t="s">
        <v>238</v>
      </c>
      <c r="B52" s="2" t="s">
        <v>117</v>
      </c>
    </row>
    <row r="53" spans="1:2" x14ac:dyDescent="0.25">
      <c r="A53" s="2" t="s">
        <v>238</v>
      </c>
      <c r="B53" s="2" t="s">
        <v>117</v>
      </c>
    </row>
    <row r="54" spans="1:2" x14ac:dyDescent="0.25">
      <c r="A54" s="2" t="s">
        <v>238</v>
      </c>
      <c r="B54" s="2" t="s">
        <v>117</v>
      </c>
    </row>
    <row r="55" spans="1:2" x14ac:dyDescent="0.25">
      <c r="A55" s="3" t="s">
        <v>238</v>
      </c>
      <c r="B55" s="3" t="s">
        <v>117</v>
      </c>
    </row>
    <row r="56" spans="1:2" x14ac:dyDescent="0.25">
      <c r="A56" s="2" t="s">
        <v>238</v>
      </c>
      <c r="B56" s="2" t="s">
        <v>117</v>
      </c>
    </row>
    <row r="57" spans="1:2" x14ac:dyDescent="0.25">
      <c r="A57" s="2" t="s">
        <v>238</v>
      </c>
      <c r="B57" s="2" t="s">
        <v>117</v>
      </c>
    </row>
    <row r="58" spans="1:2" x14ac:dyDescent="0.25">
      <c r="A58" s="2" t="s">
        <v>238</v>
      </c>
      <c r="B58" s="2" t="s">
        <v>117</v>
      </c>
    </row>
    <row r="59" spans="1:2" x14ac:dyDescent="0.25">
      <c r="A59" s="2" t="s">
        <v>238</v>
      </c>
      <c r="B59" s="2" t="s">
        <v>117</v>
      </c>
    </row>
    <row r="60" spans="1:2" x14ac:dyDescent="0.25">
      <c r="A60" s="2" t="s">
        <v>238</v>
      </c>
      <c r="B60" s="2" t="s">
        <v>117</v>
      </c>
    </row>
    <row r="61" spans="1:2" x14ac:dyDescent="0.25">
      <c r="A61" s="2" t="s">
        <v>238</v>
      </c>
      <c r="B61" s="2" t="s">
        <v>117</v>
      </c>
    </row>
    <row r="62" spans="1:2" x14ac:dyDescent="0.25">
      <c r="A62" s="2" t="s">
        <v>215</v>
      </c>
      <c r="B62" s="2" t="s">
        <v>117</v>
      </c>
    </row>
    <row r="63" spans="1:2" x14ac:dyDescent="0.25">
      <c r="A63" s="3" t="s">
        <v>215</v>
      </c>
      <c r="B63" s="3" t="s">
        <v>117</v>
      </c>
    </row>
    <row r="64" spans="1:2" x14ac:dyDescent="0.25">
      <c r="A64" s="2" t="s">
        <v>215</v>
      </c>
      <c r="B64" s="2" t="s">
        <v>117</v>
      </c>
    </row>
    <row r="65" spans="1:2" x14ac:dyDescent="0.25">
      <c r="A65" s="2" t="s">
        <v>236</v>
      </c>
      <c r="B65" s="3" t="s">
        <v>121</v>
      </c>
    </row>
    <row r="66" spans="1:2" x14ac:dyDescent="0.25">
      <c r="A66" s="2" t="s">
        <v>238</v>
      </c>
      <c r="B66" s="2" t="s">
        <v>121</v>
      </c>
    </row>
    <row r="67" spans="1:2" x14ac:dyDescent="0.25">
      <c r="A67" s="2" t="s">
        <v>238</v>
      </c>
      <c r="B67" s="2" t="s">
        <v>121</v>
      </c>
    </row>
    <row r="68" spans="1:2" x14ac:dyDescent="0.25">
      <c r="A68" s="2" t="s">
        <v>238</v>
      </c>
      <c r="B68" s="2" t="s">
        <v>121</v>
      </c>
    </row>
    <row r="69" spans="1:2" x14ac:dyDescent="0.25">
      <c r="A69" s="2" t="s">
        <v>238</v>
      </c>
      <c r="B69" s="2" t="s">
        <v>121</v>
      </c>
    </row>
    <row r="70" spans="1:2" x14ac:dyDescent="0.25">
      <c r="A70" s="2" t="s">
        <v>215</v>
      </c>
      <c r="B70" s="2" t="s">
        <v>121</v>
      </c>
    </row>
    <row r="71" spans="1:2" x14ac:dyDescent="0.25">
      <c r="A71" s="2" t="s">
        <v>215</v>
      </c>
      <c r="B71" s="2" t="s">
        <v>121</v>
      </c>
    </row>
    <row r="72" spans="1:2" x14ac:dyDescent="0.25">
      <c r="A72" s="2" t="s">
        <v>215</v>
      </c>
      <c r="B72" s="2" t="s">
        <v>121</v>
      </c>
    </row>
    <row r="73" spans="1:2" x14ac:dyDescent="0.25">
      <c r="A73" s="2" t="s">
        <v>236</v>
      </c>
      <c r="B73" s="2" t="s">
        <v>113</v>
      </c>
    </row>
    <row r="74" spans="1:2" x14ac:dyDescent="0.25">
      <c r="A74" s="2" t="s">
        <v>236</v>
      </c>
      <c r="B74" s="2" t="s">
        <v>113</v>
      </c>
    </row>
    <row r="75" spans="1:2" x14ac:dyDescent="0.25">
      <c r="A75" s="2" t="s">
        <v>236</v>
      </c>
      <c r="B75" s="2" t="s">
        <v>113</v>
      </c>
    </row>
    <row r="76" spans="1:2" x14ac:dyDescent="0.25">
      <c r="A76" s="2" t="s">
        <v>236</v>
      </c>
      <c r="B76" s="2" t="s">
        <v>113</v>
      </c>
    </row>
    <row r="77" spans="1:2" x14ac:dyDescent="0.25">
      <c r="A77" s="2" t="s">
        <v>237</v>
      </c>
      <c r="B77" s="2" t="s">
        <v>113</v>
      </c>
    </row>
    <row r="78" spans="1:2" x14ac:dyDescent="0.25">
      <c r="A78" s="2" t="s">
        <v>238</v>
      </c>
      <c r="B78" s="2" t="s">
        <v>113</v>
      </c>
    </row>
    <row r="79" spans="1:2" x14ac:dyDescent="0.25">
      <c r="A79" s="2" t="s">
        <v>238</v>
      </c>
      <c r="B79" s="2" t="s">
        <v>113</v>
      </c>
    </row>
    <row r="80" spans="1:2" x14ac:dyDescent="0.25">
      <c r="A80" s="2" t="s">
        <v>238</v>
      </c>
      <c r="B80" s="2" t="s">
        <v>113</v>
      </c>
    </row>
    <row r="81" spans="1:2" x14ac:dyDescent="0.25">
      <c r="A81" s="2" t="s">
        <v>238</v>
      </c>
      <c r="B81" s="2" t="s">
        <v>113</v>
      </c>
    </row>
    <row r="82" spans="1:2" x14ac:dyDescent="0.25">
      <c r="A82" s="2" t="s">
        <v>215</v>
      </c>
      <c r="B82" s="2" t="s">
        <v>113</v>
      </c>
    </row>
    <row r="83" spans="1:2" x14ac:dyDescent="0.25">
      <c r="A83" s="2" t="s">
        <v>236</v>
      </c>
      <c r="B83" s="2" t="s">
        <v>115</v>
      </c>
    </row>
    <row r="84" spans="1:2" x14ac:dyDescent="0.25">
      <c r="A84" s="2" t="s">
        <v>236</v>
      </c>
      <c r="B84" s="2" t="s">
        <v>115</v>
      </c>
    </row>
    <row r="85" spans="1:2" x14ac:dyDescent="0.25">
      <c r="A85" s="2" t="s">
        <v>236</v>
      </c>
      <c r="B85" s="2" t="s">
        <v>115</v>
      </c>
    </row>
    <row r="86" spans="1:2" x14ac:dyDescent="0.25">
      <c r="A86" s="2" t="s">
        <v>236</v>
      </c>
      <c r="B86" s="2" t="s">
        <v>115</v>
      </c>
    </row>
    <row r="87" spans="1:2" x14ac:dyDescent="0.25">
      <c r="A87" s="2" t="s">
        <v>237</v>
      </c>
      <c r="B87" s="2" t="s">
        <v>115</v>
      </c>
    </row>
    <row r="88" spans="1:2" x14ac:dyDescent="0.25">
      <c r="A88" s="2" t="s">
        <v>237</v>
      </c>
      <c r="B88" s="2" t="s">
        <v>115</v>
      </c>
    </row>
    <row r="89" spans="1:2" x14ac:dyDescent="0.25">
      <c r="A89" s="2" t="s">
        <v>238</v>
      </c>
      <c r="B89" s="2" t="s">
        <v>115</v>
      </c>
    </row>
    <row r="90" spans="1:2" x14ac:dyDescent="0.25">
      <c r="A90" s="2" t="s">
        <v>215</v>
      </c>
      <c r="B90" s="2" t="s">
        <v>115</v>
      </c>
    </row>
    <row r="91" spans="1:2" x14ac:dyDescent="0.25">
      <c r="A91" s="2" t="s">
        <v>215</v>
      </c>
      <c r="B91" s="2" t="s">
        <v>115</v>
      </c>
    </row>
  </sheetData>
  <sortState ref="A5:B152">
    <sortCondition ref="B5:B152"/>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8"/>
  <sheetViews>
    <sheetView topLeftCell="B1" workbookViewId="0">
      <selection activeCell="B1" sqref="B1"/>
    </sheetView>
  </sheetViews>
  <sheetFormatPr defaultColWidth="8.7109375" defaultRowHeight="12" x14ac:dyDescent="0.2"/>
  <cols>
    <col min="1" max="1" width="8.7109375" style="43"/>
    <col min="2" max="2" width="201" style="43" customWidth="1"/>
    <col min="3" max="3" width="40.28515625" style="43" customWidth="1"/>
    <col min="4" max="16384" width="8.7109375" style="43"/>
  </cols>
  <sheetData>
    <row r="1" spans="1:3" x14ac:dyDescent="0.2">
      <c r="A1" s="42" t="s">
        <v>534</v>
      </c>
      <c r="B1" s="42" t="s">
        <v>535</v>
      </c>
      <c r="C1" s="39"/>
    </row>
    <row r="2" spans="1:3" x14ac:dyDescent="0.2">
      <c r="A2" s="44">
        <v>1</v>
      </c>
      <c r="B2" s="44" t="s">
        <v>326</v>
      </c>
      <c r="C2" s="39"/>
    </row>
    <row r="3" spans="1:3" x14ac:dyDescent="0.2">
      <c r="A3" s="44">
        <v>2</v>
      </c>
      <c r="B3" s="8" t="s">
        <v>222</v>
      </c>
    </row>
    <row r="4" spans="1:3" x14ac:dyDescent="0.2">
      <c r="A4" s="44">
        <v>3</v>
      </c>
      <c r="B4" s="44" t="s">
        <v>327</v>
      </c>
    </row>
    <row r="5" spans="1:3" x14ac:dyDescent="0.2">
      <c r="A5" s="44">
        <v>4</v>
      </c>
      <c r="B5" s="45" t="s">
        <v>328</v>
      </c>
    </row>
    <row r="6" spans="1:3" x14ac:dyDescent="0.2">
      <c r="A6" s="44">
        <v>5</v>
      </c>
      <c r="B6" s="45" t="s">
        <v>329</v>
      </c>
    </row>
    <row r="7" spans="1:3" x14ac:dyDescent="0.2">
      <c r="A7" s="44">
        <v>6</v>
      </c>
      <c r="B7" s="44" t="s">
        <v>361</v>
      </c>
    </row>
    <row r="8" spans="1:3" x14ac:dyDescent="0.2">
      <c r="A8" s="44">
        <v>7</v>
      </c>
      <c r="B8" s="44" t="s">
        <v>362</v>
      </c>
    </row>
    <row r="9" spans="1:3" x14ac:dyDescent="0.2">
      <c r="A9" s="44">
        <v>8</v>
      </c>
      <c r="B9" s="44" t="s">
        <v>330</v>
      </c>
    </row>
    <row r="10" spans="1:3" x14ac:dyDescent="0.2">
      <c r="A10" s="44">
        <v>9</v>
      </c>
      <c r="B10" s="44" t="s">
        <v>364</v>
      </c>
    </row>
    <row r="11" spans="1:3" x14ac:dyDescent="0.2">
      <c r="A11" s="44">
        <v>10</v>
      </c>
      <c r="B11" s="82" t="s">
        <v>331</v>
      </c>
    </row>
    <row r="12" spans="1:3" x14ac:dyDescent="0.2">
      <c r="A12" s="44">
        <v>11</v>
      </c>
      <c r="B12" s="82" t="s">
        <v>332</v>
      </c>
    </row>
    <row r="13" spans="1:3" x14ac:dyDescent="0.2">
      <c r="A13" s="44">
        <v>12</v>
      </c>
      <c r="B13" s="82" t="s">
        <v>333</v>
      </c>
    </row>
    <row r="14" spans="1:3" x14ac:dyDescent="0.2">
      <c r="A14" s="44">
        <v>13</v>
      </c>
      <c r="B14" s="82" t="s">
        <v>334</v>
      </c>
    </row>
    <row r="15" spans="1:3" x14ac:dyDescent="0.2">
      <c r="A15" s="44">
        <v>14</v>
      </c>
      <c r="B15" s="82" t="s">
        <v>335</v>
      </c>
    </row>
    <row r="16" spans="1:3" x14ac:dyDescent="0.2">
      <c r="A16" s="44">
        <v>15</v>
      </c>
      <c r="B16" s="83" t="s">
        <v>336</v>
      </c>
    </row>
    <row r="17" spans="1:2" x14ac:dyDescent="0.2">
      <c r="A17" s="44">
        <v>16</v>
      </c>
      <c r="B17" s="82" t="s">
        <v>337</v>
      </c>
    </row>
    <row r="18" spans="1:2" x14ac:dyDescent="0.2">
      <c r="A18" s="44">
        <v>17</v>
      </c>
      <c r="B18" s="83" t="s">
        <v>373</v>
      </c>
    </row>
    <row r="19" spans="1:2" x14ac:dyDescent="0.2">
      <c r="A19" s="44">
        <v>18</v>
      </c>
      <c r="B19" s="82" t="s">
        <v>374</v>
      </c>
    </row>
    <row r="20" spans="1:2" x14ac:dyDescent="0.2">
      <c r="A20" s="44">
        <v>19</v>
      </c>
      <c r="B20" s="82" t="s">
        <v>338</v>
      </c>
    </row>
    <row r="21" spans="1:2" x14ac:dyDescent="0.2">
      <c r="A21" s="44">
        <v>20</v>
      </c>
      <c r="B21" s="82" t="s">
        <v>339</v>
      </c>
    </row>
    <row r="22" spans="1:2" x14ac:dyDescent="0.2">
      <c r="A22" s="44">
        <v>21</v>
      </c>
      <c r="B22" s="82" t="s">
        <v>340</v>
      </c>
    </row>
    <row r="23" spans="1:2" x14ac:dyDescent="0.2">
      <c r="A23" s="44">
        <v>22</v>
      </c>
      <c r="B23" s="82" t="s">
        <v>341</v>
      </c>
    </row>
    <row r="24" spans="1:2" x14ac:dyDescent="0.2">
      <c r="A24" s="44">
        <v>23</v>
      </c>
      <c r="B24" s="82" t="s">
        <v>342</v>
      </c>
    </row>
    <row r="25" spans="1:2" x14ac:dyDescent="0.2">
      <c r="A25" s="44">
        <v>24</v>
      </c>
      <c r="B25" s="82" t="s">
        <v>343</v>
      </c>
    </row>
    <row r="26" spans="1:2" x14ac:dyDescent="0.2">
      <c r="A26" s="44">
        <v>25</v>
      </c>
      <c r="B26" s="82" t="s">
        <v>344</v>
      </c>
    </row>
    <row r="27" spans="1:2" x14ac:dyDescent="0.2">
      <c r="A27" s="44">
        <v>26</v>
      </c>
      <c r="B27" s="82" t="s">
        <v>345</v>
      </c>
    </row>
    <row r="28" spans="1:2" x14ac:dyDescent="0.2">
      <c r="A28" s="44">
        <v>27</v>
      </c>
      <c r="B28" s="44" t="s">
        <v>347</v>
      </c>
    </row>
    <row r="29" spans="1:2" x14ac:dyDescent="0.2">
      <c r="A29" s="44">
        <v>28</v>
      </c>
      <c r="B29" s="82" t="s">
        <v>348</v>
      </c>
    </row>
    <row r="30" spans="1:2" x14ac:dyDescent="0.2">
      <c r="A30" s="44">
        <v>29</v>
      </c>
      <c r="B30" s="44" t="s">
        <v>349</v>
      </c>
    </row>
    <row r="31" spans="1:2" x14ac:dyDescent="0.2">
      <c r="A31" s="44">
        <v>30</v>
      </c>
      <c r="B31" s="82" t="s">
        <v>350</v>
      </c>
    </row>
    <row r="32" spans="1:2" x14ac:dyDescent="0.2">
      <c r="A32" s="44">
        <v>31</v>
      </c>
      <c r="B32" s="44" t="s">
        <v>351</v>
      </c>
    </row>
    <row r="33" spans="1:2" x14ac:dyDescent="0.2">
      <c r="A33" s="44">
        <v>32</v>
      </c>
      <c r="B33" s="82" t="s">
        <v>352</v>
      </c>
    </row>
    <row r="34" spans="1:2" x14ac:dyDescent="0.2">
      <c r="A34" s="44">
        <v>33</v>
      </c>
      <c r="B34" s="44" t="s">
        <v>351</v>
      </c>
    </row>
    <row r="35" spans="1:2" x14ac:dyDescent="0.2">
      <c r="A35" s="44">
        <v>34</v>
      </c>
      <c r="B35" s="82" t="s">
        <v>353</v>
      </c>
    </row>
    <row r="36" spans="1:2" x14ac:dyDescent="0.2">
      <c r="A36" s="44">
        <v>35</v>
      </c>
      <c r="B36" s="82" t="s">
        <v>347</v>
      </c>
    </row>
    <row r="37" spans="1:2" x14ac:dyDescent="0.2">
      <c r="A37" s="44">
        <v>36</v>
      </c>
      <c r="B37" s="44" t="s">
        <v>354</v>
      </c>
    </row>
    <row r="38" spans="1:2" x14ac:dyDescent="0.2">
      <c r="A38" s="44">
        <v>37</v>
      </c>
      <c r="B38" s="44" t="s">
        <v>355</v>
      </c>
    </row>
  </sheetData>
  <pageMargins left="0.7" right="0.7" top="0.75" bottom="0.75" header="0.3" footer="0.3"/>
  <pageSetup paperSize="9" scale="66" orientation="landscape" r:id="rId1"/>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3"/>
  <sheetViews>
    <sheetView workbookViewId="0"/>
  </sheetViews>
  <sheetFormatPr defaultRowHeight="15" x14ac:dyDescent="0.25"/>
  <cols>
    <col min="1" max="1" width="8.85546875" style="19"/>
    <col min="2" max="2" width="11.28515625" style="19" customWidth="1"/>
    <col min="3" max="3" width="12.7109375" style="19" customWidth="1"/>
    <col min="4" max="4" width="13.5703125" style="19" customWidth="1"/>
    <col min="5" max="5" width="14.42578125" customWidth="1"/>
    <col min="6" max="6" width="15.28515625" customWidth="1"/>
    <col min="7" max="7" width="15.28515625" style="19" customWidth="1"/>
    <col min="8" max="8" width="13" style="19" customWidth="1"/>
    <col min="9" max="9" width="16.140625" bestFit="1" customWidth="1"/>
    <col min="10" max="10" width="12.5703125" customWidth="1"/>
    <col min="11" max="11" width="16.28515625" customWidth="1"/>
    <col min="12" max="12" width="11.85546875" customWidth="1"/>
    <col min="13" max="13" width="11.5703125" style="19" customWidth="1"/>
    <col min="14" max="14" width="11.7109375" customWidth="1"/>
    <col min="15" max="15" width="9.85546875" customWidth="1"/>
  </cols>
  <sheetData>
    <row r="1" spans="1:19" x14ac:dyDescent="0.25">
      <c r="A1" s="15" t="s">
        <v>464</v>
      </c>
    </row>
    <row r="2" spans="1:19" x14ac:dyDescent="0.25">
      <c r="A2" s="15" t="s">
        <v>477</v>
      </c>
    </row>
    <row r="3" spans="1:19" s="19" customFormat="1" x14ac:dyDescent="0.25">
      <c r="E3" s="15"/>
    </row>
    <row r="4" spans="1:19" x14ac:dyDescent="0.25">
      <c r="I4" s="43" t="s">
        <v>473</v>
      </c>
      <c r="J4" s="43"/>
      <c r="K4" s="43"/>
      <c r="L4" s="43"/>
      <c r="M4" s="43"/>
      <c r="N4">
        <v>2015</v>
      </c>
    </row>
    <row r="5" spans="1:19" x14ac:dyDescent="0.25">
      <c r="B5" s="43" t="s">
        <v>465</v>
      </c>
      <c r="C5" s="43" t="s">
        <v>346</v>
      </c>
      <c r="F5" s="43" t="s">
        <v>466</v>
      </c>
      <c r="G5" s="43" t="s">
        <v>346</v>
      </c>
      <c r="H5" s="43"/>
      <c r="I5" s="43"/>
      <c r="J5" s="43" t="s">
        <v>471</v>
      </c>
      <c r="K5" s="43" t="s">
        <v>472</v>
      </c>
      <c r="L5" s="72" t="s">
        <v>476</v>
      </c>
      <c r="M5" s="72"/>
      <c r="O5" s="19" t="s">
        <v>474</v>
      </c>
      <c r="P5" s="19" t="s">
        <v>475</v>
      </c>
      <c r="Q5" s="19" t="s">
        <v>476</v>
      </c>
      <c r="S5" s="2"/>
    </row>
    <row r="6" spans="1:19" x14ac:dyDescent="0.25">
      <c r="A6" s="2" t="s">
        <v>238</v>
      </c>
      <c r="B6" s="5">
        <v>0</v>
      </c>
      <c r="C6" s="2">
        <v>2016</v>
      </c>
      <c r="E6" s="2" t="s">
        <v>238</v>
      </c>
      <c r="F6" s="5">
        <v>0</v>
      </c>
      <c r="G6" s="2">
        <v>2016</v>
      </c>
      <c r="H6" s="2"/>
      <c r="I6" s="43" t="s">
        <v>470</v>
      </c>
      <c r="J6" s="73">
        <f>B75/68</f>
        <v>901926.1323529412</v>
      </c>
      <c r="K6" s="73">
        <f>F55/48</f>
        <v>366497.29166666669</v>
      </c>
      <c r="L6" s="73">
        <f>SUM(J6:K6)</f>
        <v>1268423.4240196079</v>
      </c>
      <c r="M6" s="61"/>
      <c r="S6" s="2"/>
    </row>
    <row r="7" spans="1:19" x14ac:dyDescent="0.25">
      <c r="A7" s="2" t="s">
        <v>238</v>
      </c>
      <c r="B7" s="5">
        <v>0</v>
      </c>
      <c r="C7" s="2">
        <v>2017</v>
      </c>
      <c r="E7" s="2" t="s">
        <v>215</v>
      </c>
      <c r="F7" s="5">
        <v>0</v>
      </c>
      <c r="G7" s="2">
        <v>2016</v>
      </c>
      <c r="H7" s="2"/>
      <c r="I7" s="74" t="s">
        <v>572</v>
      </c>
      <c r="J7" s="73">
        <f>B77/67</f>
        <v>243745.92537313432</v>
      </c>
      <c r="K7" s="73">
        <f>F57/47</f>
        <v>55146.170212765959</v>
      </c>
      <c r="L7" s="73">
        <f>SUM(J7:K7)</f>
        <v>298892.0955859003</v>
      </c>
      <c r="M7" s="61"/>
      <c r="N7" s="19" t="s">
        <v>470</v>
      </c>
      <c r="O7" s="21">
        <v>216522</v>
      </c>
      <c r="P7" s="21">
        <v>155254</v>
      </c>
      <c r="Q7" s="21">
        <f>SUM(O7:P7)</f>
        <v>371776</v>
      </c>
      <c r="S7" s="2"/>
    </row>
    <row r="8" spans="1:19" x14ac:dyDescent="0.25">
      <c r="A8" s="2" t="s">
        <v>238</v>
      </c>
      <c r="B8" s="5">
        <v>0</v>
      </c>
      <c r="C8" s="2">
        <v>2016</v>
      </c>
      <c r="E8" s="2" t="s">
        <v>236</v>
      </c>
      <c r="F8" s="5">
        <v>0</v>
      </c>
      <c r="G8" s="2">
        <v>2016</v>
      </c>
      <c r="H8" s="2"/>
      <c r="I8" s="43" t="s">
        <v>251</v>
      </c>
      <c r="J8" s="73">
        <v>15000</v>
      </c>
      <c r="K8" s="73">
        <v>13500</v>
      </c>
      <c r="L8" s="73">
        <f>SUM(J8:K8)</f>
        <v>28500</v>
      </c>
      <c r="M8" s="61"/>
      <c r="N8" s="19" t="s">
        <v>251</v>
      </c>
      <c r="O8" s="21">
        <v>10000</v>
      </c>
      <c r="P8" s="21">
        <v>0</v>
      </c>
      <c r="Q8" s="21">
        <f>SUM(O8:P8)</f>
        <v>10000</v>
      </c>
      <c r="S8" s="2"/>
    </row>
    <row r="9" spans="1:19" x14ac:dyDescent="0.25">
      <c r="A9" s="2" t="s">
        <v>238</v>
      </c>
      <c r="B9" s="5">
        <v>0</v>
      </c>
      <c r="C9" s="2">
        <v>2016</v>
      </c>
      <c r="E9" s="2" t="s">
        <v>236</v>
      </c>
      <c r="F9" s="55">
        <v>0</v>
      </c>
      <c r="G9" s="3">
        <v>2016</v>
      </c>
      <c r="H9" s="2"/>
      <c r="K9" s="43"/>
      <c r="L9" s="43"/>
      <c r="M9" s="43"/>
      <c r="S9" s="2"/>
    </row>
    <row r="10" spans="1:19" x14ac:dyDescent="0.25">
      <c r="A10" s="43" t="s">
        <v>215</v>
      </c>
      <c r="B10" s="5">
        <v>0</v>
      </c>
      <c r="C10" s="2">
        <v>2017</v>
      </c>
      <c r="E10" s="2" t="s">
        <v>238</v>
      </c>
      <c r="F10" s="5">
        <v>0</v>
      </c>
      <c r="G10" s="2">
        <v>2016</v>
      </c>
      <c r="H10" s="2"/>
      <c r="I10" s="43"/>
      <c r="J10" s="43"/>
      <c r="K10" s="43"/>
      <c r="L10" s="43"/>
      <c r="M10" s="43"/>
      <c r="S10" s="2"/>
    </row>
    <row r="11" spans="1:19" x14ac:dyDescent="0.25">
      <c r="A11" s="2" t="s">
        <v>215</v>
      </c>
      <c r="B11" s="5">
        <v>0</v>
      </c>
      <c r="C11" s="2">
        <v>2017</v>
      </c>
      <c r="E11" s="2" t="s">
        <v>238</v>
      </c>
      <c r="F11" s="5">
        <v>0</v>
      </c>
      <c r="G11" s="2">
        <v>2016</v>
      </c>
      <c r="H11" s="2"/>
      <c r="I11" s="43"/>
      <c r="J11" s="43"/>
      <c r="K11" s="43"/>
      <c r="L11" s="43"/>
      <c r="M11" s="43"/>
      <c r="S11" s="2"/>
    </row>
    <row r="12" spans="1:19" x14ac:dyDescent="0.25">
      <c r="A12" s="2" t="s">
        <v>238</v>
      </c>
      <c r="B12" s="5">
        <v>0</v>
      </c>
      <c r="C12" s="2">
        <v>2017</v>
      </c>
      <c r="E12" s="2" t="s">
        <v>236</v>
      </c>
      <c r="F12" s="5">
        <v>0</v>
      </c>
      <c r="G12" s="2">
        <v>2016</v>
      </c>
      <c r="H12" s="2"/>
      <c r="S12" s="2"/>
    </row>
    <row r="13" spans="1:19" x14ac:dyDescent="0.25">
      <c r="A13" s="2" t="s">
        <v>238</v>
      </c>
      <c r="B13" s="5">
        <v>100</v>
      </c>
      <c r="C13" s="2">
        <v>2017</v>
      </c>
      <c r="E13" s="2" t="s">
        <v>238</v>
      </c>
      <c r="F13" s="5">
        <v>0</v>
      </c>
      <c r="G13" s="2">
        <v>2016</v>
      </c>
      <c r="H13" s="2"/>
      <c r="S13" s="2"/>
    </row>
    <row r="14" spans="1:19" x14ac:dyDescent="0.25">
      <c r="A14" s="2" t="s">
        <v>238</v>
      </c>
      <c r="B14" s="5">
        <v>200</v>
      </c>
      <c r="C14" s="2"/>
      <c r="E14" s="2" t="s">
        <v>238</v>
      </c>
      <c r="F14" s="5">
        <v>0</v>
      </c>
      <c r="G14" s="2">
        <v>2016</v>
      </c>
      <c r="H14" s="2"/>
      <c r="S14" s="2"/>
    </row>
    <row r="15" spans="1:19" x14ac:dyDescent="0.25">
      <c r="A15" s="2" t="s">
        <v>238</v>
      </c>
      <c r="B15" s="5">
        <v>500</v>
      </c>
      <c r="C15" s="2">
        <v>2016</v>
      </c>
      <c r="E15" s="2" t="s">
        <v>238</v>
      </c>
      <c r="F15" s="5">
        <v>0</v>
      </c>
      <c r="G15" s="2">
        <v>2016</v>
      </c>
      <c r="H15" s="2"/>
      <c r="S15" s="2"/>
    </row>
    <row r="16" spans="1:19" x14ac:dyDescent="0.25">
      <c r="A16" s="2" t="s">
        <v>238</v>
      </c>
      <c r="B16" s="5">
        <v>500</v>
      </c>
      <c r="C16" s="2">
        <v>2016</v>
      </c>
      <c r="E16" s="2" t="s">
        <v>238</v>
      </c>
      <c r="F16" s="5">
        <v>0</v>
      </c>
      <c r="G16" s="2">
        <v>2016</v>
      </c>
      <c r="H16" s="3"/>
      <c r="S16" s="2"/>
    </row>
    <row r="17" spans="1:19" x14ac:dyDescent="0.25">
      <c r="A17" s="2" t="s">
        <v>238</v>
      </c>
      <c r="B17" s="5">
        <v>677</v>
      </c>
      <c r="C17" s="2">
        <v>2016</v>
      </c>
      <c r="E17" s="2" t="s">
        <v>238</v>
      </c>
      <c r="F17" s="5">
        <v>0</v>
      </c>
      <c r="G17" s="2">
        <v>2017</v>
      </c>
      <c r="H17" s="2"/>
      <c r="S17" s="2"/>
    </row>
    <row r="18" spans="1:19" x14ac:dyDescent="0.25">
      <c r="A18" s="2" t="s">
        <v>238</v>
      </c>
      <c r="B18" s="5">
        <v>1000</v>
      </c>
      <c r="C18" s="2">
        <v>2017</v>
      </c>
      <c r="E18" s="2" t="s">
        <v>238</v>
      </c>
      <c r="F18" s="5">
        <v>0</v>
      </c>
      <c r="G18" s="2">
        <v>2017</v>
      </c>
      <c r="H18" s="2"/>
      <c r="S18" s="2"/>
    </row>
    <row r="19" spans="1:19" x14ac:dyDescent="0.25">
      <c r="A19" s="2" t="s">
        <v>238</v>
      </c>
      <c r="B19" s="5">
        <v>1500</v>
      </c>
      <c r="C19" s="2">
        <v>2017</v>
      </c>
      <c r="E19" s="2" t="s">
        <v>238</v>
      </c>
      <c r="F19" s="5">
        <v>0</v>
      </c>
      <c r="G19" s="2">
        <v>2017</v>
      </c>
      <c r="H19" s="2"/>
      <c r="S19" s="2"/>
    </row>
    <row r="20" spans="1:19" x14ac:dyDescent="0.25">
      <c r="A20" s="2" t="s">
        <v>238</v>
      </c>
      <c r="B20" s="5">
        <v>1500</v>
      </c>
      <c r="C20" s="2">
        <v>2016</v>
      </c>
      <c r="E20" s="2" t="s">
        <v>238</v>
      </c>
      <c r="F20" s="5">
        <v>0</v>
      </c>
      <c r="G20" s="2">
        <v>2017</v>
      </c>
      <c r="H20" s="2"/>
      <c r="S20" s="2"/>
    </row>
    <row r="21" spans="1:19" x14ac:dyDescent="0.25">
      <c r="A21" s="2" t="s">
        <v>238</v>
      </c>
      <c r="B21" s="5">
        <v>1500</v>
      </c>
      <c r="C21" s="2">
        <v>2017</v>
      </c>
      <c r="E21" s="2" t="s">
        <v>236</v>
      </c>
      <c r="F21" s="5">
        <v>0</v>
      </c>
      <c r="G21" s="2"/>
      <c r="H21" s="3"/>
      <c r="S21" s="2"/>
    </row>
    <row r="22" spans="1:19" x14ac:dyDescent="0.25">
      <c r="A22" s="2" t="s">
        <v>238</v>
      </c>
      <c r="B22" s="5">
        <v>2000</v>
      </c>
      <c r="C22" s="2">
        <v>2017</v>
      </c>
      <c r="E22" s="2" t="s">
        <v>238</v>
      </c>
      <c r="F22" s="5">
        <v>0</v>
      </c>
      <c r="G22" s="2"/>
      <c r="H22" s="2"/>
      <c r="S22" s="2"/>
    </row>
    <row r="23" spans="1:19" x14ac:dyDescent="0.25">
      <c r="A23" s="2" t="s">
        <v>238</v>
      </c>
      <c r="B23" s="5">
        <v>2500</v>
      </c>
      <c r="C23" s="2">
        <v>2016</v>
      </c>
      <c r="E23" s="2" t="s">
        <v>238</v>
      </c>
      <c r="F23" s="5">
        <v>370</v>
      </c>
      <c r="G23" s="2">
        <v>2016</v>
      </c>
      <c r="H23" s="2"/>
      <c r="S23" s="2"/>
    </row>
    <row r="24" spans="1:19" x14ac:dyDescent="0.25">
      <c r="A24" s="2" t="s">
        <v>236</v>
      </c>
      <c r="B24" s="5">
        <v>3000</v>
      </c>
      <c r="C24" s="2">
        <v>2016</v>
      </c>
      <c r="E24" s="2" t="s">
        <v>238</v>
      </c>
      <c r="F24" s="5">
        <v>2000</v>
      </c>
      <c r="G24" s="2">
        <v>2016</v>
      </c>
      <c r="H24" s="2"/>
      <c r="S24" s="2"/>
    </row>
    <row r="25" spans="1:19" x14ac:dyDescent="0.25">
      <c r="A25" s="2" t="s">
        <v>215</v>
      </c>
      <c r="B25" s="5">
        <v>3500</v>
      </c>
      <c r="C25" s="2">
        <v>2016</v>
      </c>
      <c r="E25" s="2" t="s">
        <v>238</v>
      </c>
      <c r="F25" s="5">
        <v>3000</v>
      </c>
      <c r="G25" s="2">
        <v>2017</v>
      </c>
      <c r="H25" s="2"/>
      <c r="S25" s="2"/>
    </row>
    <row r="26" spans="1:19" x14ac:dyDescent="0.25">
      <c r="A26" s="2" t="s">
        <v>238</v>
      </c>
      <c r="B26" s="5">
        <v>4000</v>
      </c>
      <c r="C26" s="2">
        <v>2016</v>
      </c>
      <c r="E26" s="2" t="s">
        <v>238</v>
      </c>
      <c r="F26" s="5">
        <v>5000</v>
      </c>
      <c r="G26" s="2">
        <v>2016</v>
      </c>
      <c r="H26" s="2"/>
      <c r="S26" s="3"/>
    </row>
    <row r="27" spans="1:19" x14ac:dyDescent="0.25">
      <c r="A27" s="2" t="s">
        <v>238</v>
      </c>
      <c r="B27" s="5">
        <v>5000</v>
      </c>
      <c r="C27" s="2">
        <v>2016</v>
      </c>
      <c r="E27" s="2" t="s">
        <v>238</v>
      </c>
      <c r="F27" s="5">
        <v>10000</v>
      </c>
      <c r="G27" s="2">
        <v>2009</v>
      </c>
      <c r="H27" s="2"/>
      <c r="S27" s="2"/>
    </row>
    <row r="28" spans="1:19" x14ac:dyDescent="0.25">
      <c r="A28" s="2" t="s">
        <v>238</v>
      </c>
      <c r="B28" s="5">
        <v>5000</v>
      </c>
      <c r="C28" s="2">
        <v>2016</v>
      </c>
      <c r="E28" s="2" t="s">
        <v>236</v>
      </c>
      <c r="F28" s="5">
        <v>10000</v>
      </c>
      <c r="G28" s="2">
        <v>2017</v>
      </c>
      <c r="H28" s="2"/>
      <c r="S28" s="2"/>
    </row>
    <row r="29" spans="1:19" x14ac:dyDescent="0.25">
      <c r="A29" s="2" t="s">
        <v>236</v>
      </c>
      <c r="B29" s="5">
        <v>5000</v>
      </c>
      <c r="C29" s="2">
        <v>2016</v>
      </c>
      <c r="E29" s="2" t="s">
        <v>238</v>
      </c>
      <c r="F29" s="5">
        <v>12000</v>
      </c>
      <c r="G29" s="2">
        <v>2017</v>
      </c>
      <c r="H29" s="2"/>
      <c r="S29" s="3"/>
    </row>
    <row r="30" spans="1:19" x14ac:dyDescent="0.25">
      <c r="A30" s="2" t="s">
        <v>236</v>
      </c>
      <c r="B30" s="5">
        <v>7500</v>
      </c>
      <c r="C30" s="2">
        <v>2017</v>
      </c>
      <c r="E30" s="2" t="s">
        <v>215</v>
      </c>
      <c r="F30" s="5">
        <v>13500</v>
      </c>
      <c r="G30" s="2">
        <v>2016</v>
      </c>
      <c r="H30" s="2"/>
      <c r="S30" s="2"/>
    </row>
    <row r="31" spans="1:19" x14ac:dyDescent="0.25">
      <c r="A31" s="2" t="s">
        <v>238</v>
      </c>
      <c r="B31" s="5">
        <v>8000</v>
      </c>
      <c r="C31" s="2">
        <v>2017</v>
      </c>
      <c r="E31" s="2" t="s">
        <v>238</v>
      </c>
      <c r="F31" s="5">
        <v>15000</v>
      </c>
      <c r="G31" s="2">
        <v>2016</v>
      </c>
      <c r="H31" s="2"/>
      <c r="S31" s="2"/>
    </row>
    <row r="32" spans="1:19" x14ac:dyDescent="0.25">
      <c r="A32" s="2" t="s">
        <v>238</v>
      </c>
      <c r="B32" s="5">
        <v>10000</v>
      </c>
      <c r="C32" s="2">
        <v>2016</v>
      </c>
      <c r="E32" s="2" t="s">
        <v>238</v>
      </c>
      <c r="F32" s="5">
        <v>15000</v>
      </c>
      <c r="G32" s="2">
        <v>2017</v>
      </c>
      <c r="H32" s="2"/>
      <c r="S32" s="2"/>
    </row>
    <row r="33" spans="1:19" x14ac:dyDescent="0.25">
      <c r="A33" s="2" t="s">
        <v>238</v>
      </c>
      <c r="B33" s="5">
        <v>10000</v>
      </c>
      <c r="C33" s="2">
        <v>2016</v>
      </c>
      <c r="E33" s="2" t="s">
        <v>237</v>
      </c>
      <c r="F33" s="5">
        <v>18000</v>
      </c>
      <c r="G33" s="2">
        <v>2016</v>
      </c>
      <c r="H33" s="2"/>
      <c r="S33" s="2"/>
    </row>
    <row r="34" spans="1:19" x14ac:dyDescent="0.25">
      <c r="A34" s="2" t="s">
        <v>236</v>
      </c>
      <c r="B34" s="5">
        <v>10000</v>
      </c>
      <c r="C34" s="2">
        <v>2016</v>
      </c>
      <c r="E34" s="2" t="s">
        <v>236</v>
      </c>
      <c r="F34" s="5">
        <v>20000</v>
      </c>
      <c r="G34" s="2">
        <v>2016</v>
      </c>
      <c r="H34" s="2"/>
      <c r="S34" s="2"/>
    </row>
    <row r="35" spans="1:19" x14ac:dyDescent="0.25">
      <c r="A35" s="2" t="s">
        <v>238</v>
      </c>
      <c r="B35" s="5">
        <v>10000</v>
      </c>
      <c r="C35" s="2">
        <v>2016</v>
      </c>
      <c r="E35" s="2" t="s">
        <v>236</v>
      </c>
      <c r="F35" s="5">
        <v>20000</v>
      </c>
      <c r="G35" s="2">
        <v>2017</v>
      </c>
      <c r="H35" s="2"/>
      <c r="S35" s="2"/>
    </row>
    <row r="36" spans="1:19" x14ac:dyDescent="0.25">
      <c r="A36" s="2" t="s">
        <v>236</v>
      </c>
      <c r="B36" s="5">
        <v>10000</v>
      </c>
      <c r="C36" s="2">
        <v>2016</v>
      </c>
      <c r="E36" s="2" t="s">
        <v>238</v>
      </c>
      <c r="F36" s="5">
        <v>23000</v>
      </c>
      <c r="G36" s="2">
        <v>2016</v>
      </c>
      <c r="H36" s="2"/>
      <c r="S36" s="3"/>
    </row>
    <row r="37" spans="1:19" x14ac:dyDescent="0.25">
      <c r="A37" s="2" t="s">
        <v>238</v>
      </c>
      <c r="B37" s="5">
        <v>10000</v>
      </c>
      <c r="C37" s="2">
        <v>2016</v>
      </c>
      <c r="E37" s="2" t="s">
        <v>238</v>
      </c>
      <c r="F37" s="5">
        <v>35000</v>
      </c>
      <c r="G37" s="2">
        <v>2015</v>
      </c>
      <c r="H37" s="2"/>
      <c r="S37" s="2"/>
    </row>
    <row r="38" spans="1:19" x14ac:dyDescent="0.25">
      <c r="A38" s="2" t="s">
        <v>238</v>
      </c>
      <c r="B38" s="5">
        <v>15000</v>
      </c>
      <c r="C38" s="2">
        <v>2016</v>
      </c>
      <c r="E38" s="2" t="s">
        <v>236</v>
      </c>
      <c r="F38" s="5">
        <v>35000</v>
      </c>
      <c r="G38" s="2">
        <v>2016</v>
      </c>
      <c r="H38" s="2"/>
      <c r="S38" s="2"/>
    </row>
    <row r="39" spans="1:19" x14ac:dyDescent="0.25">
      <c r="A39" s="2" t="s">
        <v>236</v>
      </c>
      <c r="B39" s="55">
        <v>15000</v>
      </c>
      <c r="C39" s="3">
        <v>2016</v>
      </c>
      <c r="E39" s="2" t="s">
        <v>215</v>
      </c>
      <c r="F39" s="5">
        <v>35000</v>
      </c>
      <c r="G39" s="2">
        <v>2017</v>
      </c>
      <c r="H39" s="2"/>
      <c r="S39" s="2"/>
    </row>
    <row r="40" spans="1:19" x14ac:dyDescent="0.25">
      <c r="A40" s="2" t="s">
        <v>238</v>
      </c>
      <c r="B40" s="5">
        <v>15000</v>
      </c>
      <c r="C40" s="2">
        <v>2016</v>
      </c>
      <c r="E40" s="2" t="s">
        <v>236</v>
      </c>
      <c r="F40" s="5">
        <v>40000</v>
      </c>
      <c r="G40" s="2">
        <v>2016</v>
      </c>
      <c r="H40" s="2"/>
      <c r="S40" s="2"/>
    </row>
    <row r="41" spans="1:19" x14ac:dyDescent="0.25">
      <c r="A41" s="2" t="s">
        <v>238</v>
      </c>
      <c r="B41" s="5">
        <v>15000</v>
      </c>
      <c r="C41" s="2">
        <v>2016</v>
      </c>
      <c r="E41" s="2" t="s">
        <v>236</v>
      </c>
      <c r="F41" s="5">
        <v>50000</v>
      </c>
      <c r="G41" s="2">
        <v>2014</v>
      </c>
      <c r="H41" s="2"/>
      <c r="S41" s="2"/>
    </row>
    <row r="42" spans="1:19" x14ac:dyDescent="0.25">
      <c r="A42" s="2" t="s">
        <v>238</v>
      </c>
      <c r="B42" s="5">
        <v>20000</v>
      </c>
      <c r="C42" s="2">
        <v>2017</v>
      </c>
      <c r="E42" s="2" t="s">
        <v>238</v>
      </c>
      <c r="F42" s="5">
        <v>60000</v>
      </c>
      <c r="G42" s="2">
        <v>2016</v>
      </c>
      <c r="H42" s="2"/>
      <c r="S42" s="2"/>
    </row>
    <row r="43" spans="1:19" x14ac:dyDescent="0.25">
      <c r="A43" s="2" t="s">
        <v>236</v>
      </c>
      <c r="B43" s="5">
        <v>25000</v>
      </c>
      <c r="C43" s="2">
        <v>2017</v>
      </c>
      <c r="E43" s="2" t="s">
        <v>238</v>
      </c>
      <c r="F43" s="5">
        <v>60000</v>
      </c>
      <c r="G43" s="2">
        <v>2017</v>
      </c>
      <c r="H43" s="2"/>
      <c r="S43" s="2"/>
    </row>
    <row r="44" spans="1:19" x14ac:dyDescent="0.25">
      <c r="A44" s="2" t="s">
        <v>236</v>
      </c>
      <c r="B44" s="55">
        <v>30000</v>
      </c>
      <c r="C44" s="3">
        <v>2016</v>
      </c>
      <c r="E44" s="2" t="s">
        <v>236</v>
      </c>
      <c r="F44" s="5">
        <v>70000</v>
      </c>
      <c r="G44" s="2">
        <v>2016</v>
      </c>
      <c r="H44" s="2"/>
      <c r="S44" s="2"/>
    </row>
    <row r="45" spans="1:19" x14ac:dyDescent="0.25">
      <c r="A45" s="2" t="s">
        <v>236</v>
      </c>
      <c r="B45" s="5">
        <v>30000</v>
      </c>
      <c r="C45" s="2">
        <v>2016</v>
      </c>
      <c r="E45" s="2" t="s">
        <v>238</v>
      </c>
      <c r="F45" s="5">
        <v>100000</v>
      </c>
      <c r="G45" s="2">
        <v>2014</v>
      </c>
      <c r="H45" s="2"/>
      <c r="S45" s="2"/>
    </row>
    <row r="46" spans="1:19" x14ac:dyDescent="0.25">
      <c r="A46" s="2" t="s">
        <v>236</v>
      </c>
      <c r="B46" s="5">
        <v>30000</v>
      </c>
      <c r="C46" s="2">
        <v>2017</v>
      </c>
      <c r="E46" s="2" t="s">
        <v>236</v>
      </c>
      <c r="F46" s="5">
        <v>100000</v>
      </c>
      <c r="G46" s="2">
        <v>2017</v>
      </c>
      <c r="H46" s="2"/>
      <c r="S46" s="2"/>
    </row>
    <row r="47" spans="1:19" x14ac:dyDescent="0.25">
      <c r="A47" s="2" t="s">
        <v>236</v>
      </c>
      <c r="B47" s="5">
        <v>33000</v>
      </c>
      <c r="C47" s="2">
        <v>2016</v>
      </c>
      <c r="E47" s="2" t="s">
        <v>238</v>
      </c>
      <c r="F47" s="5">
        <v>100000</v>
      </c>
      <c r="G47" s="2">
        <v>2018</v>
      </c>
      <c r="H47" s="2"/>
      <c r="S47" s="3"/>
    </row>
    <row r="48" spans="1:19" x14ac:dyDescent="0.25">
      <c r="A48" s="2" t="s">
        <v>238</v>
      </c>
      <c r="B48" s="5">
        <v>35000</v>
      </c>
      <c r="C48" s="2">
        <v>2017</v>
      </c>
      <c r="E48" s="2" t="s">
        <v>238</v>
      </c>
      <c r="F48" s="5">
        <v>150000</v>
      </c>
      <c r="G48" s="2">
        <v>2017</v>
      </c>
      <c r="H48" s="2"/>
      <c r="S48" s="2"/>
    </row>
    <row r="49" spans="1:19" x14ac:dyDescent="0.25">
      <c r="A49" s="2" t="s">
        <v>238</v>
      </c>
      <c r="B49" s="5">
        <v>40000</v>
      </c>
      <c r="C49" s="2">
        <v>2017</v>
      </c>
      <c r="E49" s="2" t="s">
        <v>236</v>
      </c>
      <c r="F49" s="55">
        <v>190000</v>
      </c>
      <c r="G49" s="3">
        <v>2016</v>
      </c>
      <c r="H49" s="2"/>
      <c r="S49" s="2"/>
    </row>
    <row r="50" spans="1:19" x14ac:dyDescent="0.25">
      <c r="A50" s="2" t="s">
        <v>236</v>
      </c>
      <c r="B50" s="5">
        <v>40000</v>
      </c>
      <c r="C50" s="2">
        <v>2016</v>
      </c>
      <c r="E50" s="2" t="s">
        <v>238</v>
      </c>
      <c r="F50" s="5">
        <v>200000</v>
      </c>
      <c r="G50" s="2">
        <v>2016</v>
      </c>
      <c r="H50" s="2"/>
      <c r="S50" s="2"/>
    </row>
    <row r="51" spans="1:19" x14ac:dyDescent="0.25">
      <c r="A51" s="2" t="s">
        <v>236</v>
      </c>
      <c r="B51" s="5">
        <v>50000</v>
      </c>
      <c r="C51" s="2">
        <v>2016</v>
      </c>
      <c r="E51" s="43" t="s">
        <v>215</v>
      </c>
      <c r="F51" s="5">
        <v>500000</v>
      </c>
      <c r="G51" s="2">
        <v>2017</v>
      </c>
      <c r="H51" s="2"/>
      <c r="S51" s="2">
        <v>2017</v>
      </c>
    </row>
    <row r="52" spans="1:19" x14ac:dyDescent="0.25">
      <c r="A52" s="2" t="s">
        <v>238</v>
      </c>
      <c r="B52" s="5">
        <v>50000</v>
      </c>
      <c r="C52" s="2">
        <v>2016</v>
      </c>
      <c r="E52" s="2" t="s">
        <v>215</v>
      </c>
      <c r="F52" s="5">
        <v>700000</v>
      </c>
      <c r="G52" s="2">
        <v>2016</v>
      </c>
      <c r="H52" s="2"/>
      <c r="S52" s="2">
        <v>2017</v>
      </c>
    </row>
    <row r="53" spans="1:19" x14ac:dyDescent="0.25">
      <c r="A53" s="2" t="s">
        <v>236</v>
      </c>
      <c r="B53" s="5">
        <v>80000</v>
      </c>
      <c r="C53" s="2">
        <v>2016</v>
      </c>
      <c r="E53" s="2" t="s">
        <v>237</v>
      </c>
      <c r="F53" s="5">
        <v>15000000</v>
      </c>
      <c r="G53" s="2">
        <v>2016</v>
      </c>
      <c r="H53" s="2"/>
      <c r="S53" s="2">
        <v>2017</v>
      </c>
    </row>
    <row r="54" spans="1:19" x14ac:dyDescent="0.25">
      <c r="A54" s="3" t="s">
        <v>238</v>
      </c>
      <c r="B54" s="55">
        <v>85000</v>
      </c>
      <c r="C54" s="3">
        <v>2016</v>
      </c>
      <c r="E54" s="2"/>
      <c r="F54" s="75"/>
      <c r="G54" s="2"/>
      <c r="H54" s="2"/>
      <c r="S54" s="2">
        <v>2017</v>
      </c>
    </row>
    <row r="55" spans="1:19" x14ac:dyDescent="0.25">
      <c r="A55" s="2" t="s">
        <v>236</v>
      </c>
      <c r="B55" s="5">
        <v>100000</v>
      </c>
      <c r="C55" s="2">
        <v>2017</v>
      </c>
      <c r="E55" s="2"/>
      <c r="F55" s="75">
        <f>SUM(F6:F54)</f>
        <v>17591870</v>
      </c>
      <c r="G55" s="2"/>
      <c r="H55" s="2"/>
      <c r="S55" s="2">
        <v>2017</v>
      </c>
    </row>
    <row r="56" spans="1:19" x14ac:dyDescent="0.25">
      <c r="A56" s="2" t="s">
        <v>238</v>
      </c>
      <c r="B56" s="5">
        <v>100000</v>
      </c>
      <c r="C56" s="2">
        <v>2016</v>
      </c>
      <c r="E56" s="2"/>
      <c r="F56" s="2"/>
      <c r="G56" s="2"/>
      <c r="H56" s="2"/>
      <c r="S56" s="2">
        <v>2017</v>
      </c>
    </row>
    <row r="57" spans="1:19" x14ac:dyDescent="0.25">
      <c r="A57" s="2" t="s">
        <v>237</v>
      </c>
      <c r="B57" s="5">
        <v>100000</v>
      </c>
      <c r="C57" s="2">
        <v>2016</v>
      </c>
      <c r="E57" s="43" t="s">
        <v>468</v>
      </c>
      <c r="F57" s="5">
        <f>F55-F53</f>
        <v>2591870</v>
      </c>
      <c r="G57" s="2"/>
      <c r="H57" s="2"/>
      <c r="S57" s="2">
        <v>2017</v>
      </c>
    </row>
    <row r="58" spans="1:19" x14ac:dyDescent="0.25">
      <c r="A58" s="2" t="s">
        <v>238</v>
      </c>
      <c r="B58" s="5">
        <v>100000</v>
      </c>
      <c r="C58" s="2">
        <v>2017</v>
      </c>
      <c r="E58" s="2"/>
      <c r="F58" s="2"/>
      <c r="G58" s="2"/>
      <c r="H58" s="3"/>
      <c r="S58" s="2">
        <v>2017</v>
      </c>
    </row>
    <row r="59" spans="1:19" x14ac:dyDescent="0.25">
      <c r="A59" s="2" t="s">
        <v>238</v>
      </c>
      <c r="B59" s="5">
        <v>120000</v>
      </c>
      <c r="C59" s="2">
        <v>2017</v>
      </c>
      <c r="E59" s="2"/>
      <c r="F59" s="2"/>
      <c r="G59" s="2"/>
      <c r="H59" s="2"/>
      <c r="S59" s="2">
        <v>2017</v>
      </c>
    </row>
    <row r="60" spans="1:19" x14ac:dyDescent="0.25">
      <c r="A60" s="2" t="s">
        <v>236</v>
      </c>
      <c r="B60" s="5">
        <v>130000</v>
      </c>
      <c r="C60" s="2">
        <v>2016</v>
      </c>
      <c r="E60" s="2"/>
      <c r="F60" s="2"/>
      <c r="G60" s="2"/>
      <c r="H60" s="2"/>
      <c r="S60" s="2">
        <v>2017</v>
      </c>
    </row>
    <row r="61" spans="1:19" x14ac:dyDescent="0.25">
      <c r="A61" s="2" t="s">
        <v>236</v>
      </c>
      <c r="B61" s="5">
        <v>200000</v>
      </c>
      <c r="C61" s="2">
        <v>2016</v>
      </c>
      <c r="E61" s="2"/>
      <c r="F61" s="2"/>
      <c r="G61" s="2"/>
      <c r="H61" s="2"/>
      <c r="S61" s="2">
        <v>2017</v>
      </c>
    </row>
    <row r="62" spans="1:19" x14ac:dyDescent="0.25">
      <c r="A62" s="2" t="s">
        <v>238</v>
      </c>
      <c r="B62" s="5">
        <v>300000</v>
      </c>
      <c r="C62" s="2">
        <v>2016</v>
      </c>
      <c r="E62" s="2"/>
      <c r="F62" s="2"/>
      <c r="G62" s="2"/>
      <c r="H62" s="2"/>
      <c r="S62" s="2">
        <v>2017</v>
      </c>
    </row>
    <row r="63" spans="1:19" x14ac:dyDescent="0.25">
      <c r="A63" s="2" t="s">
        <v>238</v>
      </c>
      <c r="B63" s="5">
        <v>300000</v>
      </c>
      <c r="C63" s="2">
        <v>2017</v>
      </c>
      <c r="E63" s="2"/>
      <c r="F63" s="2"/>
      <c r="G63" s="2"/>
      <c r="H63" s="2"/>
      <c r="S63" s="2">
        <v>2017</v>
      </c>
    </row>
    <row r="64" spans="1:19" x14ac:dyDescent="0.25">
      <c r="A64" s="2" t="s">
        <v>236</v>
      </c>
      <c r="B64" s="5">
        <v>350000</v>
      </c>
      <c r="C64" s="2">
        <v>2016</v>
      </c>
      <c r="E64" s="2"/>
      <c r="F64" s="2"/>
      <c r="G64" s="2"/>
      <c r="H64" s="2"/>
      <c r="S64" s="2">
        <v>2017</v>
      </c>
    </row>
    <row r="65" spans="1:19" x14ac:dyDescent="0.25">
      <c r="A65" s="2" t="s">
        <v>236</v>
      </c>
      <c r="B65" s="5">
        <v>500000</v>
      </c>
      <c r="C65" s="2">
        <v>2017</v>
      </c>
      <c r="E65" s="2"/>
      <c r="F65" s="2"/>
      <c r="G65" s="2"/>
      <c r="H65" s="2"/>
      <c r="S65" s="2">
        <v>2017</v>
      </c>
    </row>
    <row r="66" spans="1:19" x14ac:dyDescent="0.25">
      <c r="A66" s="2" t="s">
        <v>236</v>
      </c>
      <c r="B66" s="5">
        <v>500000</v>
      </c>
      <c r="C66" s="2">
        <v>2016</v>
      </c>
      <c r="E66" s="2"/>
      <c r="F66" s="2"/>
      <c r="G66" s="2"/>
      <c r="H66" s="2"/>
      <c r="S66" s="2">
        <v>2017</v>
      </c>
    </row>
    <row r="67" spans="1:19" x14ac:dyDescent="0.25">
      <c r="A67" s="2" t="s">
        <v>215</v>
      </c>
      <c r="B67" s="5">
        <v>600000</v>
      </c>
      <c r="C67" s="2">
        <v>2016</v>
      </c>
      <c r="E67" s="2"/>
      <c r="F67" s="2"/>
      <c r="G67" s="2"/>
      <c r="H67" s="2"/>
      <c r="S67" s="2">
        <v>2017</v>
      </c>
    </row>
    <row r="68" spans="1:19" x14ac:dyDescent="0.25">
      <c r="A68" s="2" t="s">
        <v>236</v>
      </c>
      <c r="B68" s="5">
        <v>600000</v>
      </c>
      <c r="C68" s="2">
        <v>2016</v>
      </c>
      <c r="E68" s="2"/>
      <c r="F68" s="2"/>
      <c r="G68" s="2"/>
      <c r="H68" s="2"/>
      <c r="S68" s="2">
        <v>2017</v>
      </c>
    </row>
    <row r="69" spans="1:19" x14ac:dyDescent="0.25">
      <c r="A69" s="2" t="s">
        <v>215</v>
      </c>
      <c r="B69" s="5">
        <v>1000000</v>
      </c>
      <c r="C69" s="2">
        <v>2016</v>
      </c>
      <c r="E69" s="2"/>
      <c r="F69" s="2"/>
      <c r="G69" s="2"/>
      <c r="H69" s="2"/>
      <c r="S69" s="2">
        <v>2017</v>
      </c>
    </row>
    <row r="70" spans="1:19" x14ac:dyDescent="0.25">
      <c r="A70" s="2" t="s">
        <v>236</v>
      </c>
      <c r="B70" s="55">
        <v>1700000</v>
      </c>
      <c r="C70" s="3">
        <v>2016</v>
      </c>
      <c r="E70" s="2"/>
      <c r="F70" s="2"/>
      <c r="G70" s="2"/>
      <c r="H70" s="3"/>
      <c r="S70" s="2">
        <v>2017</v>
      </c>
    </row>
    <row r="71" spans="1:19" x14ac:dyDescent="0.25">
      <c r="A71" s="2" t="s">
        <v>237</v>
      </c>
      <c r="B71" s="5">
        <v>3000000</v>
      </c>
      <c r="C71" s="2">
        <v>2016</v>
      </c>
      <c r="E71" s="2"/>
      <c r="F71" s="2"/>
      <c r="G71" s="2"/>
      <c r="H71" s="5"/>
      <c r="S71" s="2">
        <v>2017</v>
      </c>
    </row>
    <row r="72" spans="1:19" x14ac:dyDescent="0.25">
      <c r="A72" s="2" t="s">
        <v>215</v>
      </c>
      <c r="B72" s="5">
        <v>5910000</v>
      </c>
      <c r="C72" s="2">
        <v>2016</v>
      </c>
      <c r="E72" s="2"/>
      <c r="F72" s="2"/>
      <c r="G72" s="2"/>
      <c r="H72" s="2"/>
      <c r="S72" s="2"/>
    </row>
    <row r="73" spans="1:19" x14ac:dyDescent="0.25">
      <c r="A73" s="2" t="s">
        <v>237</v>
      </c>
      <c r="B73" s="55">
        <v>45000000</v>
      </c>
      <c r="C73" s="2">
        <v>2016</v>
      </c>
      <c r="E73" s="2"/>
      <c r="F73" s="2"/>
      <c r="G73" s="2"/>
      <c r="H73" s="2"/>
    </row>
    <row r="74" spans="1:19" x14ac:dyDescent="0.25">
      <c r="A74" s="2"/>
      <c r="B74" s="5"/>
      <c r="C74" s="2"/>
      <c r="E74" s="2"/>
      <c r="F74" s="2"/>
      <c r="G74" s="2"/>
      <c r="H74" s="2"/>
    </row>
    <row r="75" spans="1:19" x14ac:dyDescent="0.25">
      <c r="A75" s="2"/>
      <c r="B75" s="56">
        <f>SUM(B6:B74)</f>
        <v>61330977</v>
      </c>
      <c r="C75" s="2"/>
      <c r="E75" s="2"/>
      <c r="F75" s="2"/>
      <c r="G75" s="2"/>
    </row>
    <row r="76" spans="1:19" x14ac:dyDescent="0.25">
      <c r="A76" s="2"/>
      <c r="B76" s="2"/>
      <c r="C76" s="2"/>
      <c r="E76" s="3"/>
      <c r="F76" s="3"/>
      <c r="G76" s="3"/>
    </row>
    <row r="77" spans="1:19" x14ac:dyDescent="0.25">
      <c r="A77" s="19" t="s">
        <v>467</v>
      </c>
      <c r="B77" s="56">
        <f>B75-B73</f>
        <v>16330977</v>
      </c>
      <c r="C77" s="2"/>
      <c r="E77" s="2"/>
      <c r="F77" s="2"/>
      <c r="G77" s="2"/>
    </row>
    <row r="78" spans="1:19" x14ac:dyDescent="0.25">
      <c r="A78" s="2"/>
      <c r="B78" s="2"/>
      <c r="C78" s="2"/>
      <c r="E78" s="2"/>
      <c r="F78" s="2"/>
      <c r="G78" s="2"/>
    </row>
    <row r="79" spans="1:19" x14ac:dyDescent="0.25">
      <c r="A79" s="2"/>
      <c r="B79" s="2"/>
      <c r="C79" s="2"/>
      <c r="E79" s="2"/>
      <c r="F79" s="2"/>
      <c r="G79" s="2"/>
    </row>
    <row r="80" spans="1:19" x14ac:dyDescent="0.25">
      <c r="A80" s="2"/>
      <c r="B80" s="2"/>
      <c r="C80" s="2"/>
      <c r="E80" s="2"/>
      <c r="F80" s="2"/>
      <c r="G80" s="2"/>
    </row>
    <row r="81" spans="1:7" x14ac:dyDescent="0.25">
      <c r="A81" s="2"/>
      <c r="B81" s="2"/>
      <c r="C81" s="2"/>
      <c r="E81" s="2"/>
      <c r="F81" s="2"/>
      <c r="G81" s="2"/>
    </row>
    <row r="82" spans="1:7" x14ac:dyDescent="0.25">
      <c r="A82" s="2"/>
      <c r="B82" s="2"/>
      <c r="C82" s="2"/>
      <c r="E82" s="3"/>
      <c r="F82" s="3"/>
      <c r="G82" s="3"/>
    </row>
    <row r="83" spans="1:7" x14ac:dyDescent="0.25">
      <c r="A83" s="2"/>
      <c r="B83" s="2"/>
      <c r="C83" s="2"/>
      <c r="E83" s="2"/>
      <c r="F83" s="2"/>
      <c r="G83" s="2"/>
    </row>
    <row r="84" spans="1:7" x14ac:dyDescent="0.25">
      <c r="A84" s="2"/>
      <c r="B84" s="2"/>
      <c r="C84" s="2"/>
      <c r="E84" s="2"/>
      <c r="F84" s="3"/>
      <c r="G84" s="3"/>
    </row>
    <row r="85" spans="1:7" x14ac:dyDescent="0.25">
      <c r="A85" s="2"/>
      <c r="B85" s="2"/>
      <c r="C85" s="2"/>
      <c r="E85" s="2"/>
      <c r="F85" s="3"/>
      <c r="G85" s="3"/>
    </row>
    <row r="86" spans="1:7" x14ac:dyDescent="0.25">
      <c r="A86" s="2"/>
      <c r="B86" s="2"/>
      <c r="C86" s="2"/>
      <c r="E86" s="2"/>
      <c r="F86" s="2"/>
      <c r="G86" s="2"/>
    </row>
    <row r="87" spans="1:7" x14ac:dyDescent="0.25">
      <c r="A87" s="2"/>
      <c r="B87" s="2"/>
      <c r="C87" s="2"/>
      <c r="E87" s="2"/>
      <c r="F87" s="2"/>
      <c r="G87" s="2"/>
    </row>
    <row r="88" spans="1:7" x14ac:dyDescent="0.25">
      <c r="A88" s="2"/>
      <c r="B88" s="2"/>
      <c r="C88" s="2"/>
      <c r="E88" s="2"/>
      <c r="F88" s="2"/>
      <c r="G88" s="2"/>
    </row>
    <row r="89" spans="1:7" x14ac:dyDescent="0.25">
      <c r="A89" s="2"/>
      <c r="B89" s="2"/>
      <c r="C89" s="2"/>
      <c r="E89" s="2"/>
      <c r="F89" s="2"/>
      <c r="G89" s="2"/>
    </row>
    <row r="90" spans="1:7" x14ac:dyDescent="0.25">
      <c r="A90" s="2"/>
      <c r="B90" s="2"/>
      <c r="C90" s="2"/>
      <c r="E90" s="2"/>
      <c r="F90" s="2"/>
      <c r="G90" s="2"/>
    </row>
    <row r="91" spans="1:7" x14ac:dyDescent="0.25">
      <c r="A91" s="3"/>
      <c r="B91" s="3"/>
      <c r="C91" s="3"/>
      <c r="E91" s="2"/>
      <c r="F91" s="2"/>
      <c r="G91" s="2"/>
    </row>
    <row r="92" spans="1:7" x14ac:dyDescent="0.25">
      <c r="A92" s="2"/>
      <c r="B92" s="2"/>
      <c r="C92" s="2"/>
      <c r="E92" s="2"/>
      <c r="F92" s="2"/>
      <c r="G92" s="2"/>
    </row>
    <row r="93" spans="1:7" x14ac:dyDescent="0.25">
      <c r="A93" s="2"/>
      <c r="B93" s="2"/>
      <c r="C93" s="2"/>
      <c r="E93" s="2"/>
      <c r="F93" s="2"/>
      <c r="G93" s="2"/>
    </row>
    <row r="94" spans="1:7" x14ac:dyDescent="0.25">
      <c r="A94" s="2"/>
      <c r="B94" s="2"/>
      <c r="C94" s="2"/>
      <c r="E94" s="2"/>
      <c r="F94" s="2"/>
      <c r="G94" s="2"/>
    </row>
    <row r="95" spans="1:7" x14ac:dyDescent="0.25">
      <c r="A95" s="3"/>
      <c r="B95" s="3"/>
      <c r="C95" s="3"/>
      <c r="E95" s="2"/>
      <c r="F95" s="2"/>
      <c r="G95" s="2"/>
    </row>
    <row r="96" spans="1:7" x14ac:dyDescent="0.25">
      <c r="A96" s="2"/>
      <c r="B96" s="2"/>
      <c r="C96" s="2"/>
      <c r="E96" s="2"/>
      <c r="F96" s="2"/>
      <c r="G96" s="2"/>
    </row>
    <row r="97" spans="1:7" x14ac:dyDescent="0.25">
      <c r="A97" s="2"/>
      <c r="B97" s="3"/>
      <c r="C97" s="3"/>
      <c r="E97" s="2"/>
      <c r="F97" s="2"/>
      <c r="G97" s="2"/>
    </row>
    <row r="98" spans="1:7" x14ac:dyDescent="0.25">
      <c r="A98" s="2"/>
      <c r="B98" s="2"/>
      <c r="C98" s="2"/>
      <c r="E98" s="2"/>
      <c r="F98" s="2"/>
      <c r="G98" s="2"/>
    </row>
    <row r="99" spans="1:7" x14ac:dyDescent="0.25">
      <c r="A99" s="2"/>
      <c r="B99" s="2"/>
      <c r="C99" s="2"/>
      <c r="E99" s="2"/>
      <c r="F99" s="2"/>
      <c r="G99" s="2"/>
    </row>
    <row r="100" spans="1:7" x14ac:dyDescent="0.25">
      <c r="A100" s="2"/>
      <c r="B100" s="2"/>
      <c r="C100" s="2"/>
      <c r="E100" s="2"/>
      <c r="F100" s="2"/>
      <c r="G100" s="2"/>
    </row>
    <row r="101" spans="1:7" x14ac:dyDescent="0.25">
      <c r="A101" s="2"/>
      <c r="B101" s="2"/>
      <c r="C101" s="2"/>
      <c r="E101" s="2"/>
      <c r="F101" s="2"/>
      <c r="G101" s="2"/>
    </row>
    <row r="102" spans="1:7" x14ac:dyDescent="0.25">
      <c r="A102" s="2"/>
      <c r="B102" s="2"/>
      <c r="C102" s="2"/>
      <c r="E102" s="2"/>
      <c r="F102" s="2"/>
      <c r="G102" s="2"/>
    </row>
    <row r="103" spans="1:7" x14ac:dyDescent="0.25">
      <c r="A103" s="2"/>
      <c r="B103" s="2"/>
      <c r="C103" s="2"/>
      <c r="E103" s="2"/>
      <c r="F103" s="2"/>
      <c r="G103" s="2"/>
    </row>
    <row r="104" spans="1:7" x14ac:dyDescent="0.25">
      <c r="A104" s="2"/>
      <c r="B104" s="2"/>
      <c r="C104" s="2"/>
      <c r="E104" s="2"/>
      <c r="F104" s="2"/>
      <c r="G104" s="2"/>
    </row>
    <row r="105" spans="1:7" x14ac:dyDescent="0.25">
      <c r="A105" s="2"/>
      <c r="B105" s="2"/>
      <c r="C105" s="2"/>
      <c r="E105" s="2"/>
      <c r="F105" s="2"/>
      <c r="G105" s="2"/>
    </row>
    <row r="106" spans="1:7" x14ac:dyDescent="0.25">
      <c r="A106" s="2"/>
      <c r="B106" s="2"/>
      <c r="C106" s="2"/>
      <c r="E106" s="2"/>
      <c r="F106" s="2"/>
      <c r="G106" s="2"/>
    </row>
    <row r="107" spans="1:7" x14ac:dyDescent="0.25">
      <c r="A107" s="2"/>
      <c r="B107" s="2"/>
      <c r="C107" s="2"/>
      <c r="E107" s="2"/>
      <c r="F107" s="2"/>
      <c r="G107" s="2"/>
    </row>
    <row r="108" spans="1:7" x14ac:dyDescent="0.25">
      <c r="A108" s="2"/>
      <c r="B108" s="2"/>
      <c r="C108" s="2"/>
      <c r="E108" s="2"/>
      <c r="F108" s="2"/>
      <c r="G108" s="2"/>
    </row>
    <row r="109" spans="1:7" x14ac:dyDescent="0.25">
      <c r="A109" s="2"/>
      <c r="B109" s="2"/>
      <c r="C109" s="2"/>
      <c r="E109" s="2"/>
      <c r="F109" s="2"/>
      <c r="G109" s="2"/>
    </row>
    <row r="110" spans="1:7" x14ac:dyDescent="0.25">
      <c r="A110" s="2"/>
      <c r="B110" s="2"/>
      <c r="C110" s="2"/>
      <c r="E110" s="2"/>
      <c r="F110" s="2"/>
      <c r="G110" s="2"/>
    </row>
    <row r="111" spans="1:7" x14ac:dyDescent="0.25">
      <c r="A111" s="2"/>
      <c r="B111" s="2"/>
      <c r="C111" s="2"/>
      <c r="E111" s="2"/>
      <c r="F111" s="2"/>
      <c r="G111" s="2"/>
    </row>
    <row r="112" spans="1:7" x14ac:dyDescent="0.25">
      <c r="A112" s="2"/>
      <c r="B112" s="2"/>
      <c r="C112" s="2"/>
      <c r="E112" s="2"/>
      <c r="F112" s="2"/>
      <c r="G112" s="2"/>
    </row>
    <row r="113" spans="1:7" x14ac:dyDescent="0.25">
      <c r="A113" s="2"/>
      <c r="B113" s="2"/>
      <c r="C113" s="2"/>
      <c r="E113" s="2"/>
      <c r="F113" s="2"/>
      <c r="G113" s="2"/>
    </row>
    <row r="114" spans="1:7" x14ac:dyDescent="0.25">
      <c r="A114" s="2"/>
      <c r="B114" s="2"/>
      <c r="C114" s="2"/>
      <c r="E114" s="2"/>
      <c r="F114" s="2"/>
      <c r="G114" s="2"/>
    </row>
    <row r="115" spans="1:7" x14ac:dyDescent="0.25">
      <c r="A115" s="2"/>
      <c r="B115" s="2"/>
      <c r="C115" s="2"/>
      <c r="E115" s="2"/>
      <c r="F115" s="2"/>
      <c r="G115" s="2"/>
    </row>
    <row r="116" spans="1:7" x14ac:dyDescent="0.25">
      <c r="A116" s="2"/>
      <c r="B116" s="2"/>
      <c r="C116" s="2"/>
      <c r="E116" s="2"/>
      <c r="F116" s="2"/>
      <c r="G116" s="2"/>
    </row>
    <row r="117" spans="1:7" x14ac:dyDescent="0.25">
      <c r="A117" s="2"/>
      <c r="B117" s="2"/>
      <c r="C117" s="2"/>
      <c r="E117" s="2"/>
      <c r="F117" s="2"/>
      <c r="G117" s="2"/>
    </row>
    <row r="118" spans="1:7" x14ac:dyDescent="0.25">
      <c r="A118" s="2"/>
      <c r="B118" s="2"/>
      <c r="C118" s="2"/>
      <c r="E118" s="2"/>
      <c r="F118" s="2"/>
      <c r="G118" s="2"/>
    </row>
    <row r="119" spans="1:7" x14ac:dyDescent="0.25">
      <c r="A119" s="2"/>
      <c r="B119" s="2"/>
      <c r="C119" s="2"/>
      <c r="E119" s="2"/>
      <c r="F119" s="2"/>
      <c r="G119" s="2"/>
    </row>
    <row r="120" spans="1:7" x14ac:dyDescent="0.25">
      <c r="A120" s="2"/>
      <c r="B120" s="2"/>
      <c r="C120" s="2"/>
      <c r="E120" s="2"/>
      <c r="F120" s="2"/>
      <c r="G120" s="2"/>
    </row>
    <row r="121" spans="1:7" x14ac:dyDescent="0.25">
      <c r="A121" s="2"/>
      <c r="B121" s="2"/>
      <c r="C121" s="2"/>
      <c r="E121" s="2"/>
      <c r="F121" s="2"/>
      <c r="G121" s="2"/>
    </row>
    <row r="122" spans="1:7" x14ac:dyDescent="0.25">
      <c r="A122" s="2"/>
      <c r="B122" s="2"/>
      <c r="C122" s="2"/>
      <c r="E122" s="2"/>
      <c r="F122" s="2"/>
      <c r="G122" s="2"/>
    </row>
    <row r="123" spans="1:7" x14ac:dyDescent="0.25">
      <c r="A123" s="2"/>
      <c r="B123" s="2"/>
      <c r="C123" s="2"/>
      <c r="E123" s="2"/>
      <c r="F123" s="2"/>
      <c r="G123" s="2"/>
    </row>
    <row r="124" spans="1:7" x14ac:dyDescent="0.25">
      <c r="A124" s="2"/>
      <c r="B124" s="2"/>
      <c r="C124" s="2"/>
      <c r="E124" s="2"/>
      <c r="F124" s="2"/>
      <c r="G124" s="2"/>
    </row>
    <row r="125" spans="1:7" x14ac:dyDescent="0.25">
      <c r="A125" s="2"/>
      <c r="B125" s="2"/>
      <c r="C125" s="2"/>
      <c r="E125" s="2"/>
      <c r="F125" s="2"/>
      <c r="G125" s="2"/>
    </row>
    <row r="126" spans="1:7" x14ac:dyDescent="0.25">
      <c r="A126" s="2"/>
      <c r="B126" s="2"/>
      <c r="C126" s="2"/>
      <c r="E126" s="2"/>
      <c r="F126" s="2"/>
      <c r="G126" s="2"/>
    </row>
    <row r="127" spans="1:7" x14ac:dyDescent="0.25">
      <c r="A127" s="2"/>
      <c r="B127" s="2"/>
      <c r="C127" s="2"/>
      <c r="E127" s="2"/>
      <c r="F127" s="2"/>
      <c r="G127" s="2"/>
    </row>
    <row r="128" spans="1:7" x14ac:dyDescent="0.25">
      <c r="A128" s="2"/>
      <c r="B128" s="2"/>
      <c r="C128" s="2"/>
      <c r="E128" s="2"/>
      <c r="F128" s="2"/>
      <c r="G128" s="2"/>
    </row>
    <row r="129" spans="1:7" x14ac:dyDescent="0.25">
      <c r="A129" s="2"/>
      <c r="B129" s="2"/>
      <c r="C129" s="2"/>
      <c r="E129" s="2"/>
      <c r="F129" s="2"/>
      <c r="G129" s="2"/>
    </row>
    <row r="130" spans="1:7" x14ac:dyDescent="0.25">
      <c r="A130" s="2"/>
      <c r="B130" s="2"/>
      <c r="C130" s="2"/>
      <c r="E130" s="2"/>
      <c r="F130" s="2"/>
      <c r="G130" s="2"/>
    </row>
    <row r="131" spans="1:7" x14ac:dyDescent="0.25">
      <c r="A131" s="2"/>
      <c r="B131" s="2"/>
      <c r="C131" s="2"/>
      <c r="E131" s="2"/>
      <c r="F131" s="2"/>
      <c r="G131" s="2"/>
    </row>
    <row r="132" spans="1:7" x14ac:dyDescent="0.25">
      <c r="A132" s="2"/>
      <c r="B132" s="2"/>
      <c r="C132" s="2"/>
      <c r="E132" s="2"/>
      <c r="F132" s="2"/>
      <c r="G132" s="2"/>
    </row>
    <row r="133" spans="1:7" x14ac:dyDescent="0.25">
      <c r="A133" s="2"/>
      <c r="B133" s="2"/>
      <c r="C133" s="2"/>
      <c r="E133" s="2"/>
      <c r="F133" s="2"/>
      <c r="G133" s="2"/>
    </row>
    <row r="134" spans="1:7" x14ac:dyDescent="0.25">
      <c r="A134" s="2"/>
      <c r="B134" s="2"/>
      <c r="C134" s="2"/>
      <c r="E134" s="2"/>
      <c r="F134" s="2"/>
      <c r="G134" s="2"/>
    </row>
    <row r="135" spans="1:7" x14ac:dyDescent="0.25">
      <c r="A135" s="2"/>
      <c r="B135" s="2"/>
      <c r="C135" s="2"/>
      <c r="E135" s="2"/>
      <c r="F135" s="2"/>
      <c r="G135" s="2"/>
    </row>
    <row r="136" spans="1:7" x14ac:dyDescent="0.25">
      <c r="A136" s="2"/>
      <c r="B136" s="2"/>
      <c r="C136" s="2"/>
      <c r="E136" s="3"/>
      <c r="F136" s="3"/>
      <c r="G136" s="3"/>
    </row>
    <row r="137" spans="1:7" x14ac:dyDescent="0.25">
      <c r="A137" s="2"/>
      <c r="B137" s="2"/>
      <c r="C137" s="2"/>
      <c r="E137" s="2"/>
      <c r="F137" s="2"/>
      <c r="G137" s="2"/>
    </row>
    <row r="138" spans="1:7" x14ac:dyDescent="0.25">
      <c r="A138" s="2"/>
      <c r="B138" s="2"/>
      <c r="C138" s="2"/>
      <c r="E138" s="2"/>
      <c r="F138" s="2"/>
      <c r="G138" s="2"/>
    </row>
    <row r="139" spans="1:7" x14ac:dyDescent="0.25">
      <c r="A139" s="2"/>
      <c r="B139" s="2"/>
      <c r="C139" s="2"/>
      <c r="E139" s="2"/>
      <c r="F139" s="2"/>
      <c r="G139" s="2"/>
    </row>
    <row r="140" spans="1:7" x14ac:dyDescent="0.25">
      <c r="A140" s="2"/>
      <c r="B140" s="2"/>
      <c r="C140" s="2"/>
      <c r="E140" s="2"/>
      <c r="F140" s="2"/>
      <c r="G140" s="2"/>
    </row>
    <row r="141" spans="1:7" x14ac:dyDescent="0.25">
      <c r="A141" s="2"/>
      <c r="B141" s="2"/>
      <c r="C141" s="2"/>
      <c r="E141" s="2"/>
      <c r="F141" s="2"/>
      <c r="G141" s="2"/>
    </row>
    <row r="142" spans="1:7" x14ac:dyDescent="0.25">
      <c r="A142" s="2"/>
      <c r="B142" s="2"/>
      <c r="C142" s="2"/>
      <c r="E142" s="2"/>
      <c r="F142" s="2"/>
      <c r="G142" s="2"/>
    </row>
    <row r="143" spans="1:7" x14ac:dyDescent="0.25">
      <c r="A143" s="2"/>
      <c r="B143" s="2"/>
      <c r="C143" s="2"/>
      <c r="E143" s="2"/>
      <c r="F143" s="2"/>
      <c r="G143" s="2"/>
    </row>
    <row r="144" spans="1:7" x14ac:dyDescent="0.25">
      <c r="A144" s="2"/>
      <c r="B144" s="2"/>
      <c r="C144" s="2"/>
      <c r="E144" s="2"/>
      <c r="F144" s="2"/>
      <c r="G144" s="2"/>
    </row>
    <row r="145" spans="1:7" x14ac:dyDescent="0.25">
      <c r="A145" s="2"/>
      <c r="B145" s="2"/>
      <c r="C145" s="2"/>
      <c r="E145" s="2"/>
      <c r="F145" s="2"/>
      <c r="G145" s="2"/>
    </row>
    <row r="146" spans="1:7" x14ac:dyDescent="0.25">
      <c r="A146" s="2"/>
      <c r="B146" s="2"/>
      <c r="C146" s="2"/>
      <c r="E146" s="2"/>
      <c r="F146" s="2"/>
      <c r="G146" s="2"/>
    </row>
    <row r="147" spans="1:7" x14ac:dyDescent="0.25">
      <c r="A147" s="2"/>
      <c r="B147" s="2"/>
      <c r="C147" s="2"/>
      <c r="E147" s="2"/>
      <c r="F147" s="2"/>
      <c r="G147" s="2"/>
    </row>
    <row r="148" spans="1:7" x14ac:dyDescent="0.25">
      <c r="A148" s="2"/>
      <c r="B148" s="2"/>
      <c r="C148" s="2"/>
      <c r="E148" s="2"/>
      <c r="F148" s="2"/>
      <c r="G148" s="2"/>
    </row>
    <row r="149" spans="1:7" x14ac:dyDescent="0.25">
      <c r="A149" s="2"/>
      <c r="B149" s="2"/>
      <c r="C149" s="2"/>
      <c r="E149" s="2"/>
      <c r="F149" s="2"/>
      <c r="G149" s="2"/>
    </row>
    <row r="150" spans="1:7" x14ac:dyDescent="0.25">
      <c r="A150" s="2"/>
      <c r="B150" s="2"/>
      <c r="C150" s="2"/>
      <c r="E150" s="2"/>
      <c r="F150" s="2"/>
      <c r="G150" s="2"/>
    </row>
    <row r="151" spans="1:7" x14ac:dyDescent="0.25">
      <c r="A151" s="2"/>
      <c r="B151" s="2"/>
      <c r="C151" s="2"/>
      <c r="E151" s="2"/>
      <c r="F151" s="2"/>
      <c r="G151" s="2"/>
    </row>
    <row r="152" spans="1:7" x14ac:dyDescent="0.25">
      <c r="A152" s="2"/>
      <c r="B152" s="2"/>
      <c r="C152" s="2"/>
      <c r="E152" s="2"/>
      <c r="F152" s="2"/>
      <c r="G152" s="2"/>
    </row>
    <row r="153" spans="1:7" x14ac:dyDescent="0.25">
      <c r="A153" s="2"/>
      <c r="B153" s="2"/>
      <c r="C153" s="2"/>
      <c r="E153" s="2"/>
      <c r="F153" s="2"/>
      <c r="G153" s="2"/>
    </row>
  </sheetData>
  <sortState ref="S5:S72">
    <sortCondition ref="S5"/>
  </sortState>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4"/>
  <sheetViews>
    <sheetView workbookViewId="0"/>
  </sheetViews>
  <sheetFormatPr defaultRowHeight="15" x14ac:dyDescent="0.25"/>
  <cols>
    <col min="2" max="2" width="11.28515625" customWidth="1"/>
    <col min="3" max="3" width="10" bestFit="1" customWidth="1"/>
    <col min="4" max="4" width="9.28515625" style="32"/>
    <col min="6" max="6" width="14.28515625" customWidth="1"/>
    <col min="11" max="11" width="11.140625" customWidth="1"/>
    <col min="12" max="12" width="7.140625" customWidth="1"/>
    <col min="13" max="13" width="1.5703125" customWidth="1"/>
    <col min="15" max="16" width="5.28515625" customWidth="1"/>
    <col min="17" max="17" width="2.7109375" customWidth="1"/>
    <col min="19" max="19" width="5.5703125" customWidth="1"/>
    <col min="20" max="20" width="5.7109375" customWidth="1"/>
    <col min="21" max="21" width="1.7109375" customWidth="1"/>
    <col min="23" max="23" width="5.28515625" customWidth="1"/>
    <col min="24" max="24" width="5.7109375" customWidth="1"/>
  </cols>
  <sheetData>
    <row r="1" spans="1:28" x14ac:dyDescent="0.25">
      <c r="A1" s="15" t="s">
        <v>478</v>
      </c>
    </row>
    <row r="3" spans="1:28" x14ac:dyDescent="0.25">
      <c r="N3" s="43" t="s">
        <v>481</v>
      </c>
      <c r="O3" s="43"/>
      <c r="P3" s="43"/>
      <c r="Q3" s="43"/>
      <c r="R3" s="43"/>
      <c r="S3" s="43"/>
      <c r="T3" s="43"/>
      <c r="U3" s="43"/>
      <c r="V3" s="43"/>
      <c r="W3" s="43"/>
      <c r="X3" s="43"/>
      <c r="Y3" s="43"/>
      <c r="Z3" s="43"/>
      <c r="AA3" s="43"/>
    </row>
    <row r="4" spans="1:28" x14ac:dyDescent="0.25">
      <c r="B4" t="s">
        <v>479</v>
      </c>
      <c r="C4" t="s">
        <v>480</v>
      </c>
      <c r="F4" s="43" t="s">
        <v>469</v>
      </c>
      <c r="G4" s="43"/>
      <c r="H4" s="43"/>
      <c r="J4" s="43"/>
      <c r="K4" s="43"/>
      <c r="N4" s="43"/>
      <c r="O4" s="43" t="s">
        <v>479</v>
      </c>
      <c r="P4" s="43" t="s">
        <v>480</v>
      </c>
      <c r="Q4" s="43"/>
      <c r="R4" s="43"/>
      <c r="S4" s="43" t="s">
        <v>479</v>
      </c>
      <c r="T4" s="43" t="s">
        <v>480</v>
      </c>
      <c r="U4" s="43"/>
      <c r="V4" s="43"/>
      <c r="W4" s="43" t="s">
        <v>479</v>
      </c>
      <c r="X4" s="43" t="s">
        <v>480</v>
      </c>
      <c r="Y4" s="43"/>
      <c r="Z4" s="43"/>
      <c r="AA4" s="43" t="s">
        <v>479</v>
      </c>
      <c r="AB4" s="19" t="s">
        <v>480</v>
      </c>
    </row>
    <row r="5" spans="1:28" x14ac:dyDescent="0.25">
      <c r="A5" s="2" t="s">
        <v>236</v>
      </c>
      <c r="B5" s="2">
        <v>0</v>
      </c>
      <c r="C5" s="2">
        <v>100</v>
      </c>
      <c r="D5" s="32">
        <f>SUM(B5:C5)</f>
        <v>100</v>
      </c>
      <c r="F5" s="43"/>
      <c r="G5" s="43" t="s">
        <v>479</v>
      </c>
      <c r="H5" s="43" t="s">
        <v>480</v>
      </c>
      <c r="J5" s="43"/>
      <c r="K5" s="43"/>
      <c r="N5" s="43" t="s">
        <v>236</v>
      </c>
      <c r="O5" s="43">
        <v>0</v>
      </c>
      <c r="P5" s="43">
        <v>100</v>
      </c>
      <c r="Q5" s="43"/>
      <c r="R5" s="43" t="s">
        <v>237</v>
      </c>
      <c r="S5" s="43">
        <v>20</v>
      </c>
      <c r="T5" s="43">
        <v>80</v>
      </c>
      <c r="U5" s="43"/>
      <c r="V5" s="43" t="s">
        <v>238</v>
      </c>
      <c r="W5" s="43">
        <v>0</v>
      </c>
      <c r="X5" s="43">
        <v>100</v>
      </c>
      <c r="Y5" s="43"/>
      <c r="Z5" s="43" t="s">
        <v>215</v>
      </c>
      <c r="AA5" s="43">
        <v>17</v>
      </c>
      <c r="AB5" s="2">
        <v>83</v>
      </c>
    </row>
    <row r="6" spans="1:28" x14ac:dyDescent="0.25">
      <c r="A6" s="2" t="s">
        <v>238</v>
      </c>
      <c r="B6" s="2">
        <v>0</v>
      </c>
      <c r="C6" s="2">
        <v>100</v>
      </c>
      <c r="D6" s="32">
        <f t="shared" ref="D6:D37" si="0">SUM(B6:C6)</f>
        <v>100</v>
      </c>
      <c r="F6" s="43" t="s">
        <v>486</v>
      </c>
      <c r="G6" s="49">
        <f>AA11/5</f>
        <v>33</v>
      </c>
      <c r="H6" s="49">
        <f>AB11/5</f>
        <v>67</v>
      </c>
      <c r="J6" s="43"/>
      <c r="K6" s="43"/>
      <c r="N6" s="43" t="s">
        <v>236</v>
      </c>
      <c r="O6" s="43">
        <v>5</v>
      </c>
      <c r="P6" s="43">
        <v>95</v>
      </c>
      <c r="Q6" s="43"/>
      <c r="R6" s="43" t="s">
        <v>237</v>
      </c>
      <c r="S6" s="43">
        <v>50</v>
      </c>
      <c r="T6" s="43">
        <v>50</v>
      </c>
      <c r="U6" s="43"/>
      <c r="V6" s="43" t="s">
        <v>238</v>
      </c>
      <c r="W6" s="43">
        <v>0</v>
      </c>
      <c r="X6" s="43">
        <v>100</v>
      </c>
      <c r="Y6" s="43"/>
      <c r="Z6" s="43" t="s">
        <v>215</v>
      </c>
      <c r="AA6" s="43">
        <v>20</v>
      </c>
      <c r="AB6" s="2">
        <v>80</v>
      </c>
    </row>
    <row r="7" spans="1:28" x14ac:dyDescent="0.25">
      <c r="A7" s="2" t="s">
        <v>238</v>
      </c>
      <c r="B7" s="2">
        <v>0</v>
      </c>
      <c r="C7" s="2">
        <v>100</v>
      </c>
      <c r="D7" s="32">
        <f t="shared" si="0"/>
        <v>100</v>
      </c>
      <c r="F7" s="43" t="s">
        <v>485</v>
      </c>
      <c r="G7" s="49">
        <f>W44/38</f>
        <v>35.657894736842103</v>
      </c>
      <c r="H7" s="49">
        <f>X44/38</f>
        <v>64.34210526315789</v>
      </c>
      <c r="J7" s="43"/>
      <c r="K7" s="43"/>
      <c r="N7" s="43" t="s">
        <v>236</v>
      </c>
      <c r="O7" s="43">
        <v>10</v>
      </c>
      <c r="P7" s="43">
        <v>90</v>
      </c>
      <c r="Q7" s="43"/>
      <c r="R7" s="43" t="s">
        <v>237</v>
      </c>
      <c r="S7" s="43">
        <v>70</v>
      </c>
      <c r="T7" s="43">
        <v>30</v>
      </c>
      <c r="U7" s="43"/>
      <c r="V7" s="43" t="s">
        <v>238</v>
      </c>
      <c r="W7" s="43">
        <v>0</v>
      </c>
      <c r="X7" s="43">
        <v>100</v>
      </c>
      <c r="Y7" s="43"/>
      <c r="Z7" s="43" t="s">
        <v>215</v>
      </c>
      <c r="AA7" s="43">
        <v>20</v>
      </c>
      <c r="AB7" s="2">
        <v>80</v>
      </c>
    </row>
    <row r="8" spans="1:28" x14ac:dyDescent="0.25">
      <c r="A8" s="2" t="s">
        <v>238</v>
      </c>
      <c r="B8" s="2">
        <v>0</v>
      </c>
      <c r="C8" s="2">
        <v>100</v>
      </c>
      <c r="D8" s="32">
        <f t="shared" si="0"/>
        <v>100</v>
      </c>
      <c r="F8" s="43" t="s">
        <v>484</v>
      </c>
      <c r="G8" s="49">
        <f>S9/3</f>
        <v>46.666666666666664</v>
      </c>
      <c r="H8" s="49">
        <f>T9/3</f>
        <v>53.333333333333336</v>
      </c>
      <c r="J8" s="43"/>
      <c r="K8" s="43"/>
      <c r="N8" s="43" t="s">
        <v>236</v>
      </c>
      <c r="O8" s="43">
        <v>10</v>
      </c>
      <c r="P8" s="43">
        <v>90</v>
      </c>
      <c r="Q8" s="43"/>
      <c r="R8" s="43"/>
      <c r="S8" s="43"/>
      <c r="T8" s="43"/>
      <c r="U8" s="43"/>
      <c r="V8" s="43" t="s">
        <v>238</v>
      </c>
      <c r="W8" s="43">
        <v>0</v>
      </c>
      <c r="X8" s="43">
        <v>100</v>
      </c>
      <c r="Y8" s="43"/>
      <c r="Z8" s="43" t="s">
        <v>215</v>
      </c>
      <c r="AA8" s="43">
        <v>50</v>
      </c>
      <c r="AB8" s="2">
        <v>50</v>
      </c>
    </row>
    <row r="9" spans="1:28" x14ac:dyDescent="0.25">
      <c r="A9" s="2" t="s">
        <v>238</v>
      </c>
      <c r="B9" s="2">
        <v>0</v>
      </c>
      <c r="C9" s="2">
        <v>100</v>
      </c>
      <c r="D9" s="32">
        <f t="shared" si="0"/>
        <v>100</v>
      </c>
      <c r="F9" s="43" t="s">
        <v>482</v>
      </c>
      <c r="G9" s="49">
        <f>O28/22</f>
        <v>29.545454545454547</v>
      </c>
      <c r="H9" s="49">
        <f>P28/22</f>
        <v>70.454545454545453</v>
      </c>
      <c r="N9" s="43" t="s">
        <v>236</v>
      </c>
      <c r="O9" s="43">
        <v>10</v>
      </c>
      <c r="P9" s="43">
        <v>90</v>
      </c>
      <c r="Q9" s="43"/>
      <c r="R9" s="43"/>
      <c r="S9" s="43">
        <f>SUM(S5:S8)</f>
        <v>140</v>
      </c>
      <c r="T9" s="43">
        <f>SUM(T5:T8)</f>
        <v>160</v>
      </c>
      <c r="U9" s="43"/>
      <c r="V9" s="43" t="s">
        <v>238</v>
      </c>
      <c r="W9" s="43">
        <v>5</v>
      </c>
      <c r="X9" s="43">
        <v>95</v>
      </c>
      <c r="Y9" s="43"/>
      <c r="Z9" s="43" t="s">
        <v>215</v>
      </c>
      <c r="AA9" s="43">
        <v>58</v>
      </c>
      <c r="AB9" s="2">
        <v>42</v>
      </c>
    </row>
    <row r="10" spans="1:28" x14ac:dyDescent="0.25">
      <c r="A10" s="2" t="s">
        <v>236</v>
      </c>
      <c r="B10" s="2">
        <v>5</v>
      </c>
      <c r="C10" s="2">
        <v>95</v>
      </c>
      <c r="D10" s="32">
        <f t="shared" si="0"/>
        <v>100</v>
      </c>
      <c r="F10" s="43" t="s">
        <v>483</v>
      </c>
      <c r="G10" s="49">
        <f>B74/68</f>
        <v>33.970588235294116</v>
      </c>
      <c r="H10" s="49">
        <f>C74/68</f>
        <v>66.029411764705884</v>
      </c>
      <c r="N10" s="43" t="s">
        <v>236</v>
      </c>
      <c r="O10" s="43">
        <v>15</v>
      </c>
      <c r="P10" s="43">
        <v>85</v>
      </c>
      <c r="Q10" s="43"/>
      <c r="R10" s="43"/>
      <c r="S10" s="43"/>
      <c r="T10" s="43"/>
      <c r="U10" s="43"/>
      <c r="V10" s="43" t="s">
        <v>238</v>
      </c>
      <c r="W10" s="43">
        <v>5</v>
      </c>
      <c r="X10" s="43">
        <v>95</v>
      </c>
      <c r="Y10" s="43"/>
      <c r="Z10" s="43"/>
      <c r="AA10" s="43"/>
    </row>
    <row r="11" spans="1:28" x14ac:dyDescent="0.25">
      <c r="A11" s="2" t="s">
        <v>238</v>
      </c>
      <c r="B11" s="2">
        <v>5</v>
      </c>
      <c r="C11" s="2">
        <v>95</v>
      </c>
      <c r="D11" s="32">
        <f t="shared" si="0"/>
        <v>100</v>
      </c>
      <c r="N11" s="43" t="s">
        <v>236</v>
      </c>
      <c r="O11" s="43">
        <v>15</v>
      </c>
      <c r="P11" s="43">
        <v>85</v>
      </c>
      <c r="Q11" s="43"/>
      <c r="R11" s="43"/>
      <c r="S11" s="43"/>
      <c r="T11" s="43"/>
      <c r="U11" s="43"/>
      <c r="V11" s="43" t="s">
        <v>238</v>
      </c>
      <c r="W11" s="43">
        <v>5</v>
      </c>
      <c r="X11" s="43">
        <v>95</v>
      </c>
      <c r="Y11" s="43"/>
      <c r="Z11" s="43"/>
      <c r="AA11" s="43">
        <f>SUM(AA5:AA10)</f>
        <v>165</v>
      </c>
      <c r="AB11" s="43">
        <f>SUM(AB5:AB10)</f>
        <v>335</v>
      </c>
    </row>
    <row r="12" spans="1:28" x14ac:dyDescent="0.25">
      <c r="A12" s="2" t="s">
        <v>238</v>
      </c>
      <c r="B12" s="2">
        <v>5</v>
      </c>
      <c r="C12" s="2">
        <v>95</v>
      </c>
      <c r="D12" s="32">
        <f t="shared" si="0"/>
        <v>100</v>
      </c>
      <c r="N12" s="43" t="s">
        <v>236</v>
      </c>
      <c r="O12" s="43">
        <v>20</v>
      </c>
      <c r="P12" s="43">
        <v>80</v>
      </c>
      <c r="Q12" s="43"/>
      <c r="R12" s="43"/>
      <c r="S12" s="43"/>
      <c r="T12" s="43"/>
      <c r="U12" s="43"/>
      <c r="V12" s="43" t="s">
        <v>238</v>
      </c>
      <c r="W12" s="43">
        <v>10</v>
      </c>
      <c r="X12" s="43">
        <v>90</v>
      </c>
      <c r="Y12" s="43"/>
      <c r="Z12" s="43"/>
      <c r="AA12" s="43"/>
    </row>
    <row r="13" spans="1:28" x14ac:dyDescent="0.25">
      <c r="A13" s="2" t="s">
        <v>238</v>
      </c>
      <c r="B13" s="2">
        <v>5</v>
      </c>
      <c r="C13" s="2">
        <v>95</v>
      </c>
      <c r="D13" s="32">
        <f t="shared" si="0"/>
        <v>100</v>
      </c>
      <c r="N13" s="43" t="s">
        <v>236</v>
      </c>
      <c r="O13" s="54">
        <v>20</v>
      </c>
      <c r="P13" s="54">
        <v>80</v>
      </c>
      <c r="Q13" s="43"/>
      <c r="R13" s="43"/>
      <c r="S13" s="43"/>
      <c r="T13" s="43"/>
      <c r="U13" s="43"/>
      <c r="V13" s="43" t="s">
        <v>238</v>
      </c>
      <c r="W13" s="43">
        <v>10</v>
      </c>
      <c r="X13" s="43">
        <v>90</v>
      </c>
      <c r="Y13" s="43"/>
      <c r="Z13" s="43"/>
      <c r="AA13" s="43"/>
    </row>
    <row r="14" spans="1:28" x14ac:dyDescent="0.25">
      <c r="A14" s="2" t="s">
        <v>236</v>
      </c>
      <c r="B14" s="2">
        <v>10</v>
      </c>
      <c r="C14" s="2">
        <v>90</v>
      </c>
      <c r="D14" s="32">
        <f t="shared" si="0"/>
        <v>100</v>
      </c>
      <c r="N14" s="43" t="s">
        <v>236</v>
      </c>
      <c r="O14" s="43">
        <v>20</v>
      </c>
      <c r="P14" s="43">
        <v>80</v>
      </c>
      <c r="Q14" s="43"/>
      <c r="R14" s="43"/>
      <c r="S14" s="43"/>
      <c r="T14" s="43"/>
      <c r="U14" s="43"/>
      <c r="V14" s="43" t="s">
        <v>238</v>
      </c>
      <c r="W14" s="43">
        <v>10</v>
      </c>
      <c r="X14" s="43">
        <v>90</v>
      </c>
      <c r="Y14" s="43"/>
      <c r="Z14" s="43"/>
      <c r="AA14" s="43"/>
    </row>
    <row r="15" spans="1:28" x14ac:dyDescent="0.25">
      <c r="A15" s="2" t="s">
        <v>236</v>
      </c>
      <c r="B15" s="2">
        <v>10</v>
      </c>
      <c r="C15" s="2">
        <v>90</v>
      </c>
      <c r="D15" s="32">
        <f t="shared" si="0"/>
        <v>100</v>
      </c>
      <c r="N15" s="43" t="s">
        <v>236</v>
      </c>
      <c r="O15" s="43">
        <v>20</v>
      </c>
      <c r="P15" s="43">
        <v>80</v>
      </c>
      <c r="Q15" s="43"/>
      <c r="R15" s="43"/>
      <c r="S15" s="43"/>
      <c r="T15" s="43"/>
      <c r="U15" s="43"/>
      <c r="V15" s="43" t="s">
        <v>238</v>
      </c>
      <c r="W15" s="43">
        <v>15</v>
      </c>
      <c r="X15" s="43">
        <v>85</v>
      </c>
      <c r="Y15" s="43"/>
      <c r="Z15" s="43"/>
      <c r="AA15" s="43"/>
    </row>
    <row r="16" spans="1:28" x14ac:dyDescent="0.25">
      <c r="A16" s="2" t="s">
        <v>236</v>
      </c>
      <c r="B16" s="2">
        <v>10</v>
      </c>
      <c r="C16" s="2">
        <v>90</v>
      </c>
      <c r="D16" s="32">
        <f t="shared" si="0"/>
        <v>100</v>
      </c>
      <c r="N16" s="43" t="s">
        <v>236</v>
      </c>
      <c r="O16" s="43">
        <v>20</v>
      </c>
      <c r="P16" s="43">
        <v>80</v>
      </c>
      <c r="Q16" s="43"/>
      <c r="R16" s="43"/>
      <c r="S16" s="43"/>
      <c r="T16" s="43"/>
      <c r="U16" s="43"/>
      <c r="V16" s="43" t="s">
        <v>238</v>
      </c>
      <c r="W16" s="43">
        <v>15</v>
      </c>
      <c r="X16" s="43">
        <v>85</v>
      </c>
      <c r="Y16" s="43"/>
      <c r="Z16" s="43"/>
      <c r="AA16" s="43"/>
    </row>
    <row r="17" spans="1:27" x14ac:dyDescent="0.25">
      <c r="A17" s="2" t="s">
        <v>238</v>
      </c>
      <c r="B17" s="2">
        <v>10</v>
      </c>
      <c r="C17" s="2">
        <v>90</v>
      </c>
      <c r="D17" s="32">
        <f t="shared" si="0"/>
        <v>100</v>
      </c>
      <c r="N17" s="43" t="s">
        <v>236</v>
      </c>
      <c r="O17" s="43">
        <v>20</v>
      </c>
      <c r="P17" s="43">
        <v>80</v>
      </c>
      <c r="Q17" s="43"/>
      <c r="R17" s="43"/>
      <c r="S17" s="43"/>
      <c r="T17" s="43"/>
      <c r="U17" s="43"/>
      <c r="V17" s="43" t="s">
        <v>238</v>
      </c>
      <c r="W17" s="43">
        <v>20</v>
      </c>
      <c r="X17" s="43">
        <v>80</v>
      </c>
      <c r="Y17" s="43"/>
      <c r="Z17" s="43"/>
      <c r="AA17" s="43"/>
    </row>
    <row r="18" spans="1:27" x14ac:dyDescent="0.25">
      <c r="A18" s="2" t="s">
        <v>238</v>
      </c>
      <c r="B18" s="2">
        <v>10</v>
      </c>
      <c r="C18" s="2">
        <v>90</v>
      </c>
      <c r="D18" s="32">
        <f t="shared" si="0"/>
        <v>100</v>
      </c>
      <c r="N18" s="43" t="s">
        <v>236</v>
      </c>
      <c r="O18" s="54">
        <v>25</v>
      </c>
      <c r="P18" s="54">
        <v>75</v>
      </c>
      <c r="Q18" s="43"/>
      <c r="R18" s="43"/>
      <c r="S18" s="43"/>
      <c r="T18" s="43"/>
      <c r="U18" s="43"/>
      <c r="V18" s="43" t="s">
        <v>238</v>
      </c>
      <c r="W18" s="43">
        <v>20</v>
      </c>
      <c r="X18" s="43">
        <v>80</v>
      </c>
      <c r="Y18" s="43"/>
      <c r="Z18" s="43"/>
      <c r="AA18" s="43"/>
    </row>
    <row r="19" spans="1:27" x14ac:dyDescent="0.25">
      <c r="A19" s="2" t="s">
        <v>238</v>
      </c>
      <c r="B19" s="2">
        <v>10</v>
      </c>
      <c r="C19" s="2">
        <v>90</v>
      </c>
      <c r="D19" s="32">
        <f t="shared" si="0"/>
        <v>100</v>
      </c>
      <c r="N19" s="43" t="s">
        <v>236</v>
      </c>
      <c r="O19" s="43">
        <v>30</v>
      </c>
      <c r="P19" s="43">
        <v>70</v>
      </c>
      <c r="Q19" s="43"/>
      <c r="R19" s="43"/>
      <c r="S19" s="43"/>
      <c r="T19" s="43"/>
      <c r="U19" s="43"/>
      <c r="V19" s="43" t="s">
        <v>238</v>
      </c>
      <c r="W19" s="43">
        <v>20</v>
      </c>
      <c r="X19" s="43">
        <v>80</v>
      </c>
      <c r="Y19" s="43"/>
      <c r="Z19" s="43"/>
      <c r="AA19" s="43"/>
    </row>
    <row r="20" spans="1:27" x14ac:dyDescent="0.25">
      <c r="A20" s="2" t="s">
        <v>236</v>
      </c>
      <c r="B20" s="2">
        <v>15</v>
      </c>
      <c r="C20" s="2">
        <v>85</v>
      </c>
      <c r="D20" s="32">
        <f t="shared" si="0"/>
        <v>100</v>
      </c>
      <c r="N20" s="43" t="s">
        <v>236</v>
      </c>
      <c r="O20" s="43">
        <v>30</v>
      </c>
      <c r="P20" s="43">
        <v>70</v>
      </c>
      <c r="Q20" s="43"/>
      <c r="R20" s="43"/>
      <c r="S20" s="43"/>
      <c r="T20" s="43"/>
      <c r="U20" s="43"/>
      <c r="V20" s="43" t="s">
        <v>238</v>
      </c>
      <c r="W20" s="43">
        <v>25</v>
      </c>
      <c r="X20" s="43">
        <v>75</v>
      </c>
      <c r="Y20" s="43"/>
      <c r="Z20" s="43"/>
      <c r="AA20" s="43"/>
    </row>
    <row r="21" spans="1:27" x14ac:dyDescent="0.25">
      <c r="A21" s="2" t="s">
        <v>236</v>
      </c>
      <c r="B21" s="2">
        <v>15</v>
      </c>
      <c r="C21" s="2">
        <v>85</v>
      </c>
      <c r="D21" s="32">
        <f t="shared" si="0"/>
        <v>100</v>
      </c>
      <c r="N21" s="43" t="s">
        <v>236</v>
      </c>
      <c r="O21" s="43">
        <v>30</v>
      </c>
      <c r="P21" s="43">
        <v>70</v>
      </c>
      <c r="Q21" s="43"/>
      <c r="R21" s="43"/>
      <c r="S21" s="43"/>
      <c r="T21" s="43"/>
      <c r="U21" s="43"/>
      <c r="V21" s="43" t="s">
        <v>238</v>
      </c>
      <c r="W21" s="43">
        <v>30</v>
      </c>
      <c r="X21" s="43">
        <v>70</v>
      </c>
      <c r="Y21" s="43"/>
      <c r="Z21" s="43"/>
      <c r="AA21" s="43"/>
    </row>
    <row r="22" spans="1:27" x14ac:dyDescent="0.25">
      <c r="A22" s="2" t="s">
        <v>238</v>
      </c>
      <c r="B22" s="2">
        <v>15</v>
      </c>
      <c r="C22" s="2">
        <v>85</v>
      </c>
      <c r="D22" s="32">
        <f t="shared" si="0"/>
        <v>100</v>
      </c>
      <c r="N22" s="43" t="s">
        <v>236</v>
      </c>
      <c r="O22" s="54">
        <v>40</v>
      </c>
      <c r="P22" s="54">
        <v>60</v>
      </c>
      <c r="Q22" s="43"/>
      <c r="R22" s="43"/>
      <c r="S22" s="43"/>
      <c r="T22" s="43"/>
      <c r="U22" s="43"/>
      <c r="V22" s="43" t="s">
        <v>238</v>
      </c>
      <c r="W22" s="43">
        <v>30</v>
      </c>
      <c r="X22" s="43">
        <v>70</v>
      </c>
      <c r="Y22" s="43"/>
      <c r="Z22" s="43"/>
      <c r="AA22" s="43"/>
    </row>
    <row r="23" spans="1:27" x14ac:dyDescent="0.25">
      <c r="A23" s="2" t="s">
        <v>238</v>
      </c>
      <c r="B23" s="2">
        <v>15</v>
      </c>
      <c r="C23" s="2">
        <v>85</v>
      </c>
      <c r="D23" s="32">
        <f t="shared" si="0"/>
        <v>100</v>
      </c>
      <c r="N23" s="43" t="s">
        <v>236</v>
      </c>
      <c r="O23" s="43">
        <v>70</v>
      </c>
      <c r="P23" s="43">
        <v>30</v>
      </c>
      <c r="Q23" s="43"/>
      <c r="R23" s="43"/>
      <c r="S23" s="43"/>
      <c r="T23" s="43"/>
      <c r="U23" s="43"/>
      <c r="V23" s="43" t="s">
        <v>238</v>
      </c>
      <c r="W23" s="43">
        <v>30</v>
      </c>
      <c r="X23" s="43">
        <v>70</v>
      </c>
      <c r="Y23" s="43"/>
      <c r="Z23" s="43"/>
      <c r="AA23" s="43"/>
    </row>
    <row r="24" spans="1:27" x14ac:dyDescent="0.25">
      <c r="A24" s="2" t="s">
        <v>215</v>
      </c>
      <c r="B24" s="2">
        <v>17</v>
      </c>
      <c r="C24" s="2">
        <v>83</v>
      </c>
      <c r="D24" s="32">
        <f t="shared" si="0"/>
        <v>100</v>
      </c>
      <c r="N24" s="43" t="s">
        <v>236</v>
      </c>
      <c r="O24" s="43">
        <v>70</v>
      </c>
      <c r="P24" s="43">
        <v>30</v>
      </c>
      <c r="Q24" s="43"/>
      <c r="R24" s="43"/>
      <c r="S24" s="43"/>
      <c r="T24" s="43"/>
      <c r="U24" s="43"/>
      <c r="V24" s="43" t="s">
        <v>238</v>
      </c>
      <c r="W24" s="43">
        <v>34</v>
      </c>
      <c r="X24" s="43">
        <v>66</v>
      </c>
      <c r="Y24" s="43"/>
      <c r="Z24" s="43"/>
      <c r="AA24" s="43"/>
    </row>
    <row r="25" spans="1:27" x14ac:dyDescent="0.25">
      <c r="A25" s="2" t="s">
        <v>236</v>
      </c>
      <c r="B25" s="2">
        <v>20</v>
      </c>
      <c r="C25" s="2">
        <v>80</v>
      </c>
      <c r="D25" s="32">
        <f t="shared" si="0"/>
        <v>100</v>
      </c>
      <c r="N25" s="43" t="s">
        <v>236</v>
      </c>
      <c r="O25" s="43">
        <v>80</v>
      </c>
      <c r="P25" s="43">
        <v>20</v>
      </c>
      <c r="Q25" s="43"/>
      <c r="R25" s="43"/>
      <c r="S25" s="43"/>
      <c r="T25" s="43"/>
      <c r="U25" s="43"/>
      <c r="V25" s="43" t="s">
        <v>238</v>
      </c>
      <c r="W25" s="43">
        <v>40</v>
      </c>
      <c r="X25" s="43">
        <v>60</v>
      </c>
      <c r="Y25" s="43"/>
      <c r="Z25" s="43"/>
      <c r="AA25" s="43"/>
    </row>
    <row r="26" spans="1:27" x14ac:dyDescent="0.25">
      <c r="A26" s="2" t="s">
        <v>236</v>
      </c>
      <c r="B26" s="3">
        <v>20</v>
      </c>
      <c r="C26" s="3">
        <v>80</v>
      </c>
      <c r="D26" s="32">
        <f t="shared" si="0"/>
        <v>100</v>
      </c>
      <c r="N26" s="43" t="s">
        <v>236</v>
      </c>
      <c r="O26" s="43">
        <v>90</v>
      </c>
      <c r="P26" s="43">
        <v>10</v>
      </c>
      <c r="Q26" s="43"/>
      <c r="R26" s="43"/>
      <c r="S26" s="43"/>
      <c r="T26" s="43"/>
      <c r="U26" s="43"/>
      <c r="V26" s="43" t="s">
        <v>238</v>
      </c>
      <c r="W26" s="43">
        <v>40</v>
      </c>
      <c r="X26" s="43">
        <v>60</v>
      </c>
      <c r="Y26" s="43"/>
      <c r="Z26" s="43"/>
      <c r="AA26" s="43"/>
    </row>
    <row r="27" spans="1:27" x14ac:dyDescent="0.25">
      <c r="A27" s="2" t="s">
        <v>236</v>
      </c>
      <c r="B27" s="2">
        <v>20</v>
      </c>
      <c r="C27" s="2">
        <v>80</v>
      </c>
      <c r="D27" s="32">
        <f t="shared" si="0"/>
        <v>100</v>
      </c>
      <c r="N27" s="43"/>
      <c r="O27" s="43"/>
      <c r="P27" s="43"/>
      <c r="Q27" s="43"/>
      <c r="R27" s="43"/>
      <c r="S27" s="43"/>
      <c r="T27" s="43"/>
      <c r="U27" s="43"/>
      <c r="V27" s="43" t="s">
        <v>238</v>
      </c>
      <c r="W27" s="43">
        <v>40</v>
      </c>
      <c r="X27" s="43">
        <v>60</v>
      </c>
      <c r="Y27" s="43"/>
      <c r="Z27" s="43"/>
      <c r="AA27" s="43"/>
    </row>
    <row r="28" spans="1:27" x14ac:dyDescent="0.25">
      <c r="A28" s="2" t="s">
        <v>236</v>
      </c>
      <c r="B28" s="2">
        <v>20</v>
      </c>
      <c r="C28" s="2">
        <v>80</v>
      </c>
      <c r="D28" s="32">
        <f t="shared" si="0"/>
        <v>100</v>
      </c>
      <c r="N28" s="43"/>
      <c r="O28" s="43">
        <f>SUM(O5:O27)</f>
        <v>650</v>
      </c>
      <c r="P28" s="43">
        <f>SUM(P5:P27)</f>
        <v>1550</v>
      </c>
      <c r="Q28" s="43"/>
      <c r="R28" s="43"/>
      <c r="S28" s="43"/>
      <c r="T28" s="43"/>
      <c r="U28" s="43"/>
      <c r="V28" s="54" t="s">
        <v>238</v>
      </c>
      <c r="W28" s="54">
        <v>47</v>
      </c>
      <c r="X28" s="54">
        <v>53</v>
      </c>
      <c r="Y28" s="43"/>
      <c r="Z28" s="43"/>
      <c r="AA28" s="43"/>
    </row>
    <row r="29" spans="1:27" x14ac:dyDescent="0.25">
      <c r="A29" s="2" t="s">
        <v>236</v>
      </c>
      <c r="B29" s="2">
        <v>20</v>
      </c>
      <c r="C29" s="2">
        <v>80</v>
      </c>
      <c r="D29" s="32">
        <f t="shared" si="0"/>
        <v>100</v>
      </c>
      <c r="F29" t="s">
        <v>488</v>
      </c>
      <c r="N29" s="43"/>
      <c r="O29" s="43"/>
      <c r="P29" s="43"/>
      <c r="Q29" s="43"/>
      <c r="R29" s="43"/>
      <c r="S29" s="43"/>
      <c r="T29" s="43"/>
      <c r="U29" s="43"/>
      <c r="V29" s="43" t="s">
        <v>238</v>
      </c>
      <c r="W29" s="43">
        <v>50</v>
      </c>
      <c r="X29" s="43">
        <v>50</v>
      </c>
      <c r="Y29" s="43"/>
      <c r="Z29" s="43"/>
      <c r="AA29" s="43"/>
    </row>
    <row r="30" spans="1:27" x14ac:dyDescent="0.25">
      <c r="A30" s="2" t="s">
        <v>236</v>
      </c>
      <c r="B30" s="2">
        <v>20</v>
      </c>
      <c r="C30" s="2">
        <v>80</v>
      </c>
      <c r="D30" s="32">
        <f t="shared" si="0"/>
        <v>100</v>
      </c>
      <c r="G30">
        <v>2013</v>
      </c>
      <c r="H30">
        <v>2015</v>
      </c>
      <c r="I30">
        <v>2017</v>
      </c>
      <c r="N30" s="43"/>
      <c r="O30" s="43"/>
      <c r="P30" s="43"/>
      <c r="Q30" s="43"/>
      <c r="R30" s="43"/>
      <c r="S30" s="43"/>
      <c r="T30" s="43"/>
      <c r="U30" s="43"/>
      <c r="V30" s="43" t="s">
        <v>238</v>
      </c>
      <c r="W30" s="43">
        <v>50</v>
      </c>
      <c r="X30" s="43">
        <v>50</v>
      </c>
      <c r="Y30" s="43"/>
      <c r="Z30" s="43"/>
      <c r="AA30" s="43"/>
    </row>
    <row r="31" spans="1:27" x14ac:dyDescent="0.25">
      <c r="A31" s="2" t="s">
        <v>237</v>
      </c>
      <c r="B31" s="2">
        <v>20</v>
      </c>
      <c r="C31" s="2">
        <v>80</v>
      </c>
      <c r="D31" s="32">
        <f t="shared" si="0"/>
        <v>100</v>
      </c>
      <c r="F31" t="s">
        <v>479</v>
      </c>
      <c r="G31">
        <v>43</v>
      </c>
      <c r="H31">
        <v>40</v>
      </c>
      <c r="I31">
        <v>34</v>
      </c>
      <c r="N31" s="43"/>
      <c r="O31" s="43"/>
      <c r="P31" s="43"/>
      <c r="Q31" s="43"/>
      <c r="R31" s="43"/>
      <c r="S31" s="43"/>
      <c r="T31" s="43"/>
      <c r="U31" s="43"/>
      <c r="V31" s="43" t="s">
        <v>238</v>
      </c>
      <c r="W31" s="43">
        <v>50</v>
      </c>
      <c r="X31" s="43">
        <v>50</v>
      </c>
      <c r="Y31" s="43"/>
      <c r="Z31" s="43"/>
      <c r="AA31" s="43"/>
    </row>
    <row r="32" spans="1:27" x14ac:dyDescent="0.25">
      <c r="A32" s="2" t="s">
        <v>238</v>
      </c>
      <c r="B32" s="2">
        <v>20</v>
      </c>
      <c r="C32" s="2">
        <v>80</v>
      </c>
      <c r="D32" s="32">
        <f t="shared" si="0"/>
        <v>100</v>
      </c>
      <c r="F32" t="s">
        <v>480</v>
      </c>
      <c r="G32">
        <v>57</v>
      </c>
      <c r="H32">
        <v>60</v>
      </c>
      <c r="I32">
        <v>66</v>
      </c>
      <c r="N32" s="43"/>
      <c r="O32" s="43"/>
      <c r="P32" s="43"/>
      <c r="Q32" s="43"/>
      <c r="R32" s="43"/>
      <c r="S32" s="43"/>
      <c r="T32" s="43"/>
      <c r="U32" s="43"/>
      <c r="V32" s="43" t="s">
        <v>238</v>
      </c>
      <c r="W32" s="43">
        <v>50</v>
      </c>
      <c r="X32" s="43">
        <v>50</v>
      </c>
      <c r="Y32" s="43"/>
      <c r="Z32" s="43"/>
      <c r="AA32" s="43"/>
    </row>
    <row r="33" spans="1:27" x14ac:dyDescent="0.25">
      <c r="A33" s="2" t="s">
        <v>238</v>
      </c>
      <c r="B33" s="2">
        <v>20</v>
      </c>
      <c r="C33" s="2">
        <v>80</v>
      </c>
      <c r="D33" s="32">
        <f t="shared" si="0"/>
        <v>100</v>
      </c>
      <c r="N33" s="43"/>
      <c r="O33" s="43"/>
      <c r="P33" s="43"/>
      <c r="Q33" s="43"/>
      <c r="R33" s="43"/>
      <c r="S33" s="43"/>
      <c r="T33" s="43"/>
      <c r="U33" s="43"/>
      <c r="V33" s="43" t="s">
        <v>238</v>
      </c>
      <c r="W33" s="43">
        <v>50</v>
      </c>
      <c r="X33" s="43">
        <v>50</v>
      </c>
      <c r="Y33" s="43"/>
      <c r="Z33" s="43"/>
      <c r="AA33" s="43"/>
    </row>
    <row r="34" spans="1:27" x14ac:dyDescent="0.25">
      <c r="A34" s="2" t="s">
        <v>238</v>
      </c>
      <c r="B34" s="2">
        <v>20</v>
      </c>
      <c r="C34" s="2">
        <v>80</v>
      </c>
      <c r="D34" s="32">
        <f t="shared" si="0"/>
        <v>100</v>
      </c>
      <c r="N34" s="43"/>
      <c r="O34" s="43"/>
      <c r="P34" s="43"/>
      <c r="Q34" s="43"/>
      <c r="R34" s="43"/>
      <c r="S34" s="43"/>
      <c r="T34" s="43"/>
      <c r="U34" s="43"/>
      <c r="V34" s="43" t="s">
        <v>238</v>
      </c>
      <c r="W34" s="43">
        <v>50</v>
      </c>
      <c r="X34" s="43">
        <v>50</v>
      </c>
      <c r="Y34" s="43"/>
      <c r="Z34" s="43"/>
      <c r="AA34" s="43"/>
    </row>
    <row r="35" spans="1:27" x14ac:dyDescent="0.25">
      <c r="A35" s="2" t="s">
        <v>215</v>
      </c>
      <c r="B35" s="2">
        <v>20</v>
      </c>
      <c r="C35" s="2">
        <v>80</v>
      </c>
      <c r="D35" s="32">
        <f t="shared" si="0"/>
        <v>100</v>
      </c>
      <c r="N35" s="43"/>
      <c r="O35" s="43"/>
      <c r="P35" s="43"/>
      <c r="Q35" s="43"/>
      <c r="R35" s="43"/>
      <c r="S35" s="43"/>
      <c r="T35" s="43"/>
      <c r="U35" s="43"/>
      <c r="V35" s="43" t="s">
        <v>238</v>
      </c>
      <c r="W35" s="43">
        <v>50</v>
      </c>
      <c r="X35" s="43">
        <v>50</v>
      </c>
      <c r="Y35" s="43"/>
      <c r="Z35" s="43"/>
      <c r="AA35" s="43"/>
    </row>
    <row r="36" spans="1:27" x14ac:dyDescent="0.25">
      <c r="A36" s="2" t="s">
        <v>215</v>
      </c>
      <c r="B36" s="2">
        <v>20</v>
      </c>
      <c r="C36" s="2">
        <v>80</v>
      </c>
      <c r="D36" s="32">
        <f t="shared" si="0"/>
        <v>100</v>
      </c>
      <c r="N36" s="43"/>
      <c r="O36" s="43"/>
      <c r="P36" s="43"/>
      <c r="Q36" s="43"/>
      <c r="R36" s="43"/>
      <c r="S36" s="43"/>
      <c r="T36" s="43"/>
      <c r="U36" s="43"/>
      <c r="V36" s="43" t="s">
        <v>238</v>
      </c>
      <c r="W36" s="43">
        <v>60</v>
      </c>
      <c r="X36" s="43">
        <v>40</v>
      </c>
      <c r="Y36" s="43"/>
      <c r="Z36" s="43"/>
      <c r="AA36" s="43"/>
    </row>
    <row r="37" spans="1:27" x14ac:dyDescent="0.25">
      <c r="A37" s="2" t="s">
        <v>236</v>
      </c>
      <c r="B37" s="3">
        <v>25</v>
      </c>
      <c r="C37" s="3">
        <v>75</v>
      </c>
      <c r="D37" s="32">
        <f t="shared" si="0"/>
        <v>100</v>
      </c>
      <c r="N37" s="43"/>
      <c r="O37" s="43"/>
      <c r="P37" s="43"/>
      <c r="Q37" s="43"/>
      <c r="R37" s="43"/>
      <c r="S37" s="43"/>
      <c r="T37" s="43"/>
      <c r="U37" s="43"/>
      <c r="V37" s="43" t="s">
        <v>238</v>
      </c>
      <c r="W37" s="43">
        <v>60</v>
      </c>
      <c r="X37" s="43">
        <v>40</v>
      </c>
      <c r="Y37" s="43"/>
      <c r="Z37" s="43"/>
      <c r="AA37" s="43"/>
    </row>
    <row r="38" spans="1:27" x14ac:dyDescent="0.25">
      <c r="A38" s="2" t="s">
        <v>238</v>
      </c>
      <c r="B38" s="2">
        <v>25</v>
      </c>
      <c r="C38" s="2">
        <v>75</v>
      </c>
      <c r="D38" s="32">
        <f t="shared" ref="D38:D69" si="1">SUM(B38:C38)</f>
        <v>100</v>
      </c>
      <c r="N38" s="43"/>
      <c r="O38" s="43"/>
      <c r="P38" s="43"/>
      <c r="Q38" s="43"/>
      <c r="R38" s="43"/>
      <c r="S38" s="43"/>
      <c r="T38" s="43"/>
      <c r="U38" s="43"/>
      <c r="V38" s="43" t="s">
        <v>238</v>
      </c>
      <c r="W38" s="43">
        <v>80</v>
      </c>
      <c r="X38" s="43">
        <v>20</v>
      </c>
      <c r="Y38" s="43"/>
      <c r="Z38" s="43"/>
      <c r="AA38" s="43"/>
    </row>
    <row r="39" spans="1:27" x14ac:dyDescent="0.25">
      <c r="A39" s="2" t="s">
        <v>236</v>
      </c>
      <c r="B39" s="2">
        <v>30</v>
      </c>
      <c r="C39" s="2">
        <v>70</v>
      </c>
      <c r="D39" s="32">
        <f t="shared" si="1"/>
        <v>100</v>
      </c>
      <c r="N39" s="43"/>
      <c r="O39" s="43"/>
      <c r="P39" s="43"/>
      <c r="Q39" s="43"/>
      <c r="R39" s="43"/>
      <c r="S39" s="43"/>
      <c r="T39" s="43"/>
      <c r="U39" s="43"/>
      <c r="V39" s="43" t="s">
        <v>238</v>
      </c>
      <c r="W39" s="43">
        <v>80</v>
      </c>
      <c r="X39" s="43">
        <v>20</v>
      </c>
      <c r="Y39" s="43"/>
      <c r="Z39" s="43"/>
      <c r="AA39" s="43"/>
    </row>
    <row r="40" spans="1:27" x14ac:dyDescent="0.25">
      <c r="A40" s="2" t="s">
        <v>236</v>
      </c>
      <c r="B40" s="2">
        <v>30</v>
      </c>
      <c r="C40" s="2">
        <v>70</v>
      </c>
      <c r="D40" s="32">
        <f t="shared" si="1"/>
        <v>100</v>
      </c>
      <c r="N40" s="43"/>
      <c r="O40" s="43"/>
      <c r="P40" s="43"/>
      <c r="Q40" s="43"/>
      <c r="R40" s="43"/>
      <c r="S40" s="43"/>
      <c r="T40" s="43"/>
      <c r="U40" s="43"/>
      <c r="V40" s="43" t="s">
        <v>238</v>
      </c>
      <c r="W40" s="43">
        <v>85</v>
      </c>
      <c r="X40" s="43">
        <v>15</v>
      </c>
      <c r="Y40" s="43"/>
      <c r="Z40" s="43"/>
      <c r="AA40" s="43"/>
    </row>
    <row r="41" spans="1:27" x14ac:dyDescent="0.25">
      <c r="A41" s="2" t="s">
        <v>236</v>
      </c>
      <c r="B41" s="2">
        <v>30</v>
      </c>
      <c r="C41" s="2">
        <v>70</v>
      </c>
      <c r="D41" s="32">
        <f t="shared" si="1"/>
        <v>100</v>
      </c>
      <c r="N41" s="43"/>
      <c r="O41" s="43"/>
      <c r="P41" s="43"/>
      <c r="Q41" s="43"/>
      <c r="R41" s="43"/>
      <c r="S41" s="43"/>
      <c r="T41" s="43"/>
      <c r="U41" s="43"/>
      <c r="V41" s="43" t="s">
        <v>238</v>
      </c>
      <c r="W41" s="43">
        <v>90</v>
      </c>
      <c r="X41" s="43">
        <v>10</v>
      </c>
      <c r="Y41" s="43"/>
      <c r="Z41" s="43"/>
      <c r="AA41" s="43"/>
    </row>
    <row r="42" spans="1:27" x14ac:dyDescent="0.25">
      <c r="A42" s="2" t="s">
        <v>238</v>
      </c>
      <c r="B42" s="2">
        <v>30</v>
      </c>
      <c r="C42" s="2">
        <v>70</v>
      </c>
      <c r="D42" s="32">
        <f t="shared" si="1"/>
        <v>100</v>
      </c>
      <c r="N42" s="43"/>
      <c r="O42" s="43"/>
      <c r="P42" s="43"/>
      <c r="Q42" s="43"/>
      <c r="R42" s="43"/>
      <c r="S42" s="43"/>
      <c r="T42" s="43"/>
      <c r="U42" s="43"/>
      <c r="V42" s="43" t="s">
        <v>238</v>
      </c>
      <c r="W42" s="43">
        <v>99</v>
      </c>
      <c r="X42" s="43">
        <v>1</v>
      </c>
      <c r="Y42" s="43"/>
      <c r="Z42" s="43"/>
      <c r="AA42" s="43"/>
    </row>
    <row r="43" spans="1:27" x14ac:dyDescent="0.25">
      <c r="A43" s="2" t="s">
        <v>238</v>
      </c>
      <c r="B43" s="2">
        <v>30</v>
      </c>
      <c r="C43" s="2">
        <v>70</v>
      </c>
      <c r="D43" s="32">
        <f t="shared" si="1"/>
        <v>100</v>
      </c>
      <c r="N43" s="43"/>
      <c r="O43" s="43"/>
      <c r="P43" s="43"/>
      <c r="Q43" s="43"/>
      <c r="R43" s="43"/>
      <c r="S43" s="43"/>
      <c r="T43" s="43"/>
      <c r="U43" s="43"/>
      <c r="V43" s="43"/>
      <c r="W43" s="43"/>
      <c r="X43" s="43"/>
      <c r="Y43" s="43"/>
      <c r="Z43" s="43"/>
      <c r="AA43" s="43"/>
    </row>
    <row r="44" spans="1:27" x14ac:dyDescent="0.25">
      <c r="A44" s="2" t="s">
        <v>238</v>
      </c>
      <c r="B44" s="2">
        <v>30</v>
      </c>
      <c r="C44" s="2">
        <v>70</v>
      </c>
      <c r="D44" s="32">
        <f t="shared" si="1"/>
        <v>100</v>
      </c>
      <c r="N44" s="43"/>
      <c r="O44" s="43"/>
      <c r="P44" s="43"/>
      <c r="Q44" s="43"/>
      <c r="R44" s="43"/>
      <c r="S44" s="43"/>
      <c r="T44" s="43"/>
      <c r="U44" s="43"/>
      <c r="V44" s="43"/>
      <c r="W44" s="43">
        <f>SUM(W5:W43)</f>
        <v>1355</v>
      </c>
      <c r="X44" s="43">
        <f>SUM(X5:X43)</f>
        <v>2445</v>
      </c>
      <c r="Y44" s="43"/>
      <c r="Z44" s="43"/>
      <c r="AA44" s="43"/>
    </row>
    <row r="45" spans="1:27" x14ac:dyDescent="0.25">
      <c r="A45" s="2" t="s">
        <v>238</v>
      </c>
      <c r="B45" s="2">
        <v>34</v>
      </c>
      <c r="C45" s="2">
        <v>66</v>
      </c>
      <c r="D45" s="32">
        <f t="shared" si="1"/>
        <v>100</v>
      </c>
      <c r="N45" s="43"/>
      <c r="O45" s="43"/>
      <c r="P45" s="43"/>
      <c r="Q45" s="43"/>
      <c r="R45" s="43"/>
      <c r="S45" s="43"/>
      <c r="T45" s="43"/>
      <c r="U45" s="43"/>
      <c r="V45" s="43"/>
      <c r="W45" s="43"/>
      <c r="X45" s="43"/>
      <c r="Y45" s="43"/>
      <c r="Z45" s="43"/>
      <c r="AA45" s="43"/>
    </row>
    <row r="46" spans="1:27" x14ac:dyDescent="0.25">
      <c r="A46" s="2" t="s">
        <v>236</v>
      </c>
      <c r="B46" s="3">
        <v>40</v>
      </c>
      <c r="C46" s="3">
        <v>60</v>
      </c>
      <c r="D46" s="32">
        <f t="shared" si="1"/>
        <v>100</v>
      </c>
      <c r="N46" s="43"/>
      <c r="O46" s="43"/>
      <c r="P46" s="43"/>
      <c r="Q46" s="43"/>
      <c r="R46" s="43"/>
      <c r="S46" s="43"/>
      <c r="T46" s="43"/>
      <c r="U46" s="43"/>
      <c r="V46" s="43"/>
      <c r="W46" s="43"/>
      <c r="X46" s="43"/>
      <c r="Y46" s="43"/>
      <c r="Z46" s="43"/>
      <c r="AA46" s="43"/>
    </row>
    <row r="47" spans="1:27" x14ac:dyDescent="0.25">
      <c r="A47" s="2" t="s">
        <v>238</v>
      </c>
      <c r="B47" s="2">
        <v>40</v>
      </c>
      <c r="C47" s="2">
        <v>60</v>
      </c>
      <c r="D47" s="32">
        <f t="shared" si="1"/>
        <v>100</v>
      </c>
      <c r="N47" s="43"/>
      <c r="O47" s="43"/>
      <c r="P47" s="43"/>
      <c r="Q47" s="43"/>
      <c r="R47" s="43"/>
      <c r="S47" s="43"/>
      <c r="T47" s="43"/>
      <c r="U47" s="43"/>
      <c r="V47" s="43"/>
      <c r="W47" s="43"/>
      <c r="X47" s="43"/>
      <c r="Y47" s="43"/>
      <c r="Z47" s="43"/>
      <c r="AA47" s="43"/>
    </row>
    <row r="48" spans="1:27" x14ac:dyDescent="0.25">
      <c r="A48" s="2" t="s">
        <v>238</v>
      </c>
      <c r="B48" s="2">
        <v>40</v>
      </c>
      <c r="C48" s="2">
        <v>60</v>
      </c>
      <c r="D48" s="32">
        <f t="shared" si="1"/>
        <v>100</v>
      </c>
      <c r="N48" s="43"/>
      <c r="O48" s="43"/>
      <c r="P48" s="43"/>
      <c r="Q48" s="43"/>
      <c r="R48" s="43"/>
      <c r="S48" s="43"/>
      <c r="T48" s="43"/>
      <c r="U48" s="43"/>
      <c r="V48" s="43"/>
      <c r="W48" s="43"/>
      <c r="X48" s="43"/>
      <c r="Y48" s="43"/>
      <c r="Z48" s="43"/>
      <c r="AA48" s="43"/>
    </row>
    <row r="49" spans="1:27" x14ac:dyDescent="0.25">
      <c r="A49" s="2" t="s">
        <v>238</v>
      </c>
      <c r="B49" s="2">
        <v>40</v>
      </c>
      <c r="C49" s="2">
        <v>60</v>
      </c>
      <c r="D49" s="32">
        <f t="shared" si="1"/>
        <v>100</v>
      </c>
      <c r="N49" s="43"/>
      <c r="O49" s="43"/>
      <c r="P49" s="43"/>
      <c r="Q49" s="43"/>
      <c r="R49" s="43"/>
      <c r="S49" s="43"/>
      <c r="T49" s="43"/>
      <c r="U49" s="43"/>
      <c r="V49" s="43"/>
      <c r="W49" s="43"/>
      <c r="X49" s="43"/>
      <c r="Y49" s="43"/>
      <c r="Z49" s="43"/>
      <c r="AA49" s="43"/>
    </row>
    <row r="50" spans="1:27" x14ac:dyDescent="0.25">
      <c r="A50" s="3" t="s">
        <v>238</v>
      </c>
      <c r="B50" s="3">
        <v>47</v>
      </c>
      <c r="C50" s="3">
        <v>53</v>
      </c>
      <c r="D50" s="32">
        <f t="shared" si="1"/>
        <v>100</v>
      </c>
      <c r="N50" s="43"/>
      <c r="O50" s="43"/>
      <c r="P50" s="43"/>
      <c r="Q50" s="43"/>
      <c r="R50" s="43"/>
      <c r="S50" s="43"/>
      <c r="T50" s="43"/>
      <c r="U50" s="43"/>
      <c r="V50" s="43"/>
      <c r="W50" s="43"/>
      <c r="X50" s="43"/>
      <c r="Y50" s="43"/>
      <c r="Z50" s="43"/>
      <c r="AA50" s="43"/>
    </row>
    <row r="51" spans="1:27" x14ac:dyDescent="0.25">
      <c r="A51" s="2" t="s">
        <v>237</v>
      </c>
      <c r="B51" s="2">
        <v>50</v>
      </c>
      <c r="C51" s="2">
        <v>50</v>
      </c>
      <c r="D51" s="32">
        <f t="shared" si="1"/>
        <v>100</v>
      </c>
      <c r="N51" s="43"/>
      <c r="O51" s="43"/>
      <c r="P51" s="43"/>
      <c r="Q51" s="43"/>
      <c r="R51" s="43"/>
      <c r="S51" s="43"/>
      <c r="T51" s="43"/>
      <c r="U51" s="43"/>
      <c r="V51" s="43"/>
      <c r="W51" s="43"/>
      <c r="X51" s="43"/>
      <c r="Y51" s="43"/>
      <c r="Z51" s="43"/>
      <c r="AA51" s="43"/>
    </row>
    <row r="52" spans="1:27" x14ac:dyDescent="0.25">
      <c r="A52" s="2" t="s">
        <v>238</v>
      </c>
      <c r="B52" s="2">
        <v>50</v>
      </c>
      <c r="C52" s="2">
        <v>50</v>
      </c>
      <c r="D52" s="32">
        <f t="shared" si="1"/>
        <v>100</v>
      </c>
      <c r="N52" s="43"/>
      <c r="O52" s="43"/>
      <c r="P52" s="43"/>
      <c r="Q52" s="43"/>
      <c r="R52" s="43"/>
      <c r="S52" s="43"/>
      <c r="T52" s="43"/>
      <c r="U52" s="43"/>
      <c r="V52" s="43"/>
      <c r="W52" s="43"/>
      <c r="X52" s="43"/>
      <c r="Y52" s="43"/>
      <c r="Z52" s="43"/>
      <c r="AA52" s="43"/>
    </row>
    <row r="53" spans="1:27" x14ac:dyDescent="0.25">
      <c r="A53" s="2" t="s">
        <v>238</v>
      </c>
      <c r="B53" s="2">
        <v>50</v>
      </c>
      <c r="C53" s="2">
        <v>50</v>
      </c>
      <c r="D53" s="32">
        <f t="shared" si="1"/>
        <v>100</v>
      </c>
      <c r="N53" s="43"/>
      <c r="O53" s="43"/>
      <c r="P53" s="43"/>
      <c r="Q53" s="43"/>
      <c r="R53" s="43"/>
      <c r="S53" s="43"/>
      <c r="T53" s="43"/>
      <c r="U53" s="43"/>
      <c r="V53" s="43"/>
      <c r="W53" s="43"/>
      <c r="X53" s="43"/>
      <c r="Y53" s="43"/>
      <c r="Z53" s="43"/>
      <c r="AA53" s="43"/>
    </row>
    <row r="54" spans="1:27" x14ac:dyDescent="0.25">
      <c r="A54" s="2" t="s">
        <v>238</v>
      </c>
      <c r="B54" s="2">
        <v>50</v>
      </c>
      <c r="C54" s="2">
        <v>50</v>
      </c>
      <c r="D54" s="32">
        <f t="shared" si="1"/>
        <v>100</v>
      </c>
      <c r="N54" s="43"/>
      <c r="O54" s="43"/>
      <c r="P54" s="43"/>
      <c r="Q54" s="43"/>
      <c r="R54" s="43"/>
      <c r="S54" s="43"/>
      <c r="T54" s="43"/>
      <c r="U54" s="43"/>
      <c r="V54" s="43"/>
      <c r="W54" s="43"/>
      <c r="X54" s="43"/>
      <c r="Y54" s="43"/>
      <c r="Z54" s="43"/>
      <c r="AA54" s="43"/>
    </row>
    <row r="55" spans="1:27" x14ac:dyDescent="0.25">
      <c r="A55" s="2" t="s">
        <v>238</v>
      </c>
      <c r="B55" s="2">
        <v>50</v>
      </c>
      <c r="C55" s="2">
        <v>50</v>
      </c>
      <c r="D55" s="32">
        <f t="shared" si="1"/>
        <v>100</v>
      </c>
      <c r="N55" s="43"/>
      <c r="O55" s="43"/>
      <c r="P55" s="43"/>
      <c r="Q55" s="43"/>
      <c r="R55" s="43"/>
      <c r="S55" s="43"/>
      <c r="T55" s="43"/>
      <c r="U55" s="43"/>
      <c r="V55" s="43"/>
      <c r="W55" s="43"/>
      <c r="X55" s="43"/>
      <c r="Y55" s="43"/>
      <c r="Z55" s="43"/>
      <c r="AA55" s="43"/>
    </row>
    <row r="56" spans="1:27" x14ac:dyDescent="0.25">
      <c r="A56" s="2" t="s">
        <v>238</v>
      </c>
      <c r="B56" s="2">
        <v>50</v>
      </c>
      <c r="C56" s="2">
        <v>50</v>
      </c>
      <c r="D56" s="32">
        <f t="shared" si="1"/>
        <v>100</v>
      </c>
      <c r="N56" s="43"/>
      <c r="O56" s="43"/>
      <c r="P56" s="43"/>
      <c r="Q56" s="43"/>
      <c r="R56" s="43"/>
      <c r="S56" s="43"/>
      <c r="T56" s="43"/>
      <c r="U56" s="43"/>
      <c r="V56" s="43"/>
      <c r="W56" s="43"/>
      <c r="X56" s="43"/>
      <c r="Y56" s="43"/>
      <c r="Z56" s="43"/>
      <c r="AA56" s="43"/>
    </row>
    <row r="57" spans="1:27" x14ac:dyDescent="0.25">
      <c r="A57" s="2" t="s">
        <v>238</v>
      </c>
      <c r="B57" s="2">
        <v>50</v>
      </c>
      <c r="C57" s="2">
        <v>50</v>
      </c>
      <c r="D57" s="32">
        <f t="shared" si="1"/>
        <v>100</v>
      </c>
      <c r="N57" s="43"/>
      <c r="O57" s="43"/>
      <c r="P57" s="43"/>
      <c r="Q57" s="43"/>
      <c r="R57" s="43"/>
      <c r="S57" s="43"/>
      <c r="T57" s="43"/>
      <c r="U57" s="43"/>
      <c r="V57" s="43"/>
      <c r="W57" s="43"/>
      <c r="X57" s="43"/>
      <c r="Y57" s="43"/>
      <c r="Z57" s="43"/>
      <c r="AA57" s="43"/>
    </row>
    <row r="58" spans="1:27" x14ac:dyDescent="0.25">
      <c r="A58" s="2" t="s">
        <v>238</v>
      </c>
      <c r="B58" s="2">
        <v>50</v>
      </c>
      <c r="C58" s="2">
        <v>50</v>
      </c>
      <c r="D58" s="32">
        <f t="shared" si="1"/>
        <v>100</v>
      </c>
      <c r="N58" s="43"/>
      <c r="O58" s="43"/>
      <c r="P58" s="43"/>
      <c r="Q58" s="43"/>
      <c r="R58" s="43"/>
      <c r="S58" s="43"/>
      <c r="T58" s="43"/>
      <c r="U58" s="43"/>
      <c r="V58" s="43"/>
      <c r="W58" s="43"/>
      <c r="X58" s="43"/>
      <c r="Y58" s="43"/>
      <c r="Z58" s="43"/>
      <c r="AA58" s="43"/>
    </row>
    <row r="59" spans="1:27" x14ac:dyDescent="0.25">
      <c r="A59" s="2" t="s">
        <v>215</v>
      </c>
      <c r="B59" s="2">
        <v>50</v>
      </c>
      <c r="C59" s="2">
        <v>50</v>
      </c>
      <c r="D59" s="32">
        <f t="shared" si="1"/>
        <v>100</v>
      </c>
      <c r="N59" s="43"/>
      <c r="O59" s="43"/>
      <c r="P59" s="43"/>
      <c r="Q59" s="43"/>
      <c r="R59" s="43"/>
      <c r="S59" s="43"/>
      <c r="T59" s="43"/>
      <c r="U59" s="43"/>
      <c r="V59" s="43"/>
      <c r="W59" s="43"/>
      <c r="X59" s="43"/>
      <c r="Y59" s="43"/>
      <c r="Z59" s="43"/>
      <c r="AA59" s="43"/>
    </row>
    <row r="60" spans="1:27" x14ac:dyDescent="0.25">
      <c r="A60" s="2" t="s">
        <v>215</v>
      </c>
      <c r="B60" s="2">
        <v>58</v>
      </c>
      <c r="C60" s="2">
        <v>42</v>
      </c>
      <c r="D60" s="32">
        <f t="shared" si="1"/>
        <v>100</v>
      </c>
      <c r="N60" s="43"/>
      <c r="O60" s="43"/>
      <c r="P60" s="43"/>
      <c r="Q60" s="43"/>
      <c r="R60" s="43"/>
      <c r="S60" s="43"/>
      <c r="T60" s="43"/>
      <c r="U60" s="43"/>
      <c r="V60" s="43"/>
      <c r="W60" s="43"/>
      <c r="X60" s="43"/>
      <c r="Y60" s="43"/>
      <c r="Z60" s="43"/>
      <c r="AA60" s="43"/>
    </row>
    <row r="61" spans="1:27" x14ac:dyDescent="0.25">
      <c r="A61" s="2" t="s">
        <v>238</v>
      </c>
      <c r="B61" s="2">
        <v>60</v>
      </c>
      <c r="C61" s="2">
        <v>40</v>
      </c>
      <c r="D61" s="32">
        <f t="shared" si="1"/>
        <v>100</v>
      </c>
      <c r="N61" s="43"/>
      <c r="O61" s="43"/>
      <c r="P61" s="43"/>
      <c r="Q61" s="43"/>
      <c r="R61" s="43"/>
      <c r="S61" s="43"/>
      <c r="T61" s="43"/>
      <c r="U61" s="43"/>
      <c r="V61" s="43"/>
      <c r="W61" s="43"/>
      <c r="X61" s="43"/>
      <c r="Y61" s="43"/>
      <c r="Z61" s="43"/>
      <c r="AA61" s="43"/>
    </row>
    <row r="62" spans="1:27" x14ac:dyDescent="0.25">
      <c r="A62" s="2" t="s">
        <v>238</v>
      </c>
      <c r="B62" s="2">
        <v>60</v>
      </c>
      <c r="C62" s="2">
        <v>40</v>
      </c>
      <c r="D62" s="32">
        <f t="shared" si="1"/>
        <v>100</v>
      </c>
      <c r="N62" s="43"/>
      <c r="O62" s="43"/>
      <c r="P62" s="43"/>
      <c r="Q62" s="43"/>
      <c r="R62" s="43"/>
      <c r="S62" s="43"/>
      <c r="T62" s="43"/>
      <c r="U62" s="43"/>
      <c r="V62" s="43"/>
      <c r="W62" s="43"/>
      <c r="X62" s="43"/>
      <c r="Y62" s="43"/>
      <c r="Z62" s="43"/>
      <c r="AA62" s="43"/>
    </row>
    <row r="63" spans="1:27" x14ac:dyDescent="0.25">
      <c r="A63" s="2" t="s">
        <v>236</v>
      </c>
      <c r="B63" s="2">
        <v>70</v>
      </c>
      <c r="C63" s="2">
        <v>30</v>
      </c>
      <c r="D63" s="32">
        <f t="shared" si="1"/>
        <v>100</v>
      </c>
      <c r="N63" s="43"/>
      <c r="O63" s="43"/>
      <c r="P63" s="43"/>
      <c r="Q63" s="43"/>
      <c r="R63" s="43"/>
      <c r="S63" s="43"/>
      <c r="T63" s="43"/>
      <c r="U63" s="43"/>
      <c r="V63" s="43"/>
      <c r="W63" s="43"/>
      <c r="X63" s="43"/>
      <c r="Y63" s="43"/>
      <c r="Z63" s="43"/>
      <c r="AA63" s="43"/>
    </row>
    <row r="64" spans="1:27" x14ac:dyDescent="0.25">
      <c r="A64" s="2" t="s">
        <v>236</v>
      </c>
      <c r="B64" s="2">
        <v>70</v>
      </c>
      <c r="C64" s="2">
        <v>30</v>
      </c>
      <c r="D64" s="32">
        <f t="shared" si="1"/>
        <v>100</v>
      </c>
      <c r="N64" s="43"/>
      <c r="O64" s="43"/>
      <c r="P64" s="43"/>
      <c r="Q64" s="43"/>
      <c r="R64" s="43"/>
      <c r="S64" s="43"/>
      <c r="T64" s="43"/>
      <c r="U64" s="43"/>
      <c r="V64" s="43"/>
      <c r="W64" s="43"/>
      <c r="X64" s="43"/>
      <c r="Y64" s="43"/>
      <c r="Z64" s="43"/>
      <c r="AA64" s="43"/>
    </row>
    <row r="65" spans="1:27" x14ac:dyDescent="0.25">
      <c r="A65" s="2" t="s">
        <v>237</v>
      </c>
      <c r="B65" s="2">
        <v>70</v>
      </c>
      <c r="C65" s="2">
        <v>30</v>
      </c>
      <c r="D65" s="32">
        <f t="shared" si="1"/>
        <v>100</v>
      </c>
      <c r="N65" s="43"/>
      <c r="O65" s="43"/>
      <c r="P65" s="43"/>
      <c r="Q65" s="43"/>
      <c r="R65" s="43"/>
      <c r="S65" s="43"/>
      <c r="T65" s="43"/>
      <c r="U65" s="43"/>
      <c r="V65" s="43"/>
      <c r="W65" s="43"/>
      <c r="X65" s="43"/>
      <c r="Y65" s="43"/>
      <c r="Z65" s="43"/>
      <c r="AA65" s="43"/>
    </row>
    <row r="66" spans="1:27" x14ac:dyDescent="0.25">
      <c r="A66" s="2" t="s">
        <v>236</v>
      </c>
      <c r="B66" s="2">
        <v>80</v>
      </c>
      <c r="C66" s="2">
        <v>20</v>
      </c>
      <c r="D66" s="32">
        <f t="shared" si="1"/>
        <v>100</v>
      </c>
      <c r="N66" s="43"/>
      <c r="O66" s="43"/>
      <c r="P66" s="43"/>
      <c r="Q66" s="43"/>
      <c r="R66" s="43"/>
      <c r="S66" s="43"/>
      <c r="T66" s="43"/>
      <c r="U66" s="43"/>
      <c r="V66" s="43"/>
      <c r="W66" s="43"/>
      <c r="X66" s="43"/>
      <c r="Y66" s="43"/>
      <c r="Z66" s="43"/>
      <c r="AA66" s="43"/>
    </row>
    <row r="67" spans="1:27" x14ac:dyDescent="0.25">
      <c r="A67" s="2" t="s">
        <v>238</v>
      </c>
      <c r="B67" s="2">
        <v>80</v>
      </c>
      <c r="C67" s="2">
        <v>20</v>
      </c>
      <c r="D67" s="32">
        <f t="shared" si="1"/>
        <v>100</v>
      </c>
      <c r="N67" s="43"/>
      <c r="O67" s="43"/>
      <c r="P67" s="43"/>
      <c r="Q67" s="43"/>
      <c r="R67" s="43"/>
      <c r="S67" s="43"/>
      <c r="T67" s="43"/>
      <c r="U67" s="43"/>
      <c r="V67" s="43"/>
      <c r="W67" s="43"/>
      <c r="X67" s="43"/>
      <c r="Y67" s="43"/>
      <c r="Z67" s="43"/>
      <c r="AA67" s="43"/>
    </row>
    <row r="68" spans="1:27" x14ac:dyDescent="0.25">
      <c r="A68" s="2" t="s">
        <v>238</v>
      </c>
      <c r="B68" s="2">
        <v>80</v>
      </c>
      <c r="C68" s="2">
        <v>20</v>
      </c>
      <c r="D68" s="32">
        <f t="shared" si="1"/>
        <v>100</v>
      </c>
      <c r="N68" s="43"/>
      <c r="O68" s="43"/>
      <c r="P68" s="43"/>
      <c r="Q68" s="43"/>
      <c r="R68" s="43"/>
      <c r="S68" s="43"/>
      <c r="T68" s="43"/>
      <c r="U68" s="43"/>
      <c r="V68" s="43"/>
      <c r="W68" s="43"/>
      <c r="X68" s="43"/>
      <c r="Y68" s="43"/>
      <c r="Z68" s="43"/>
      <c r="AA68" s="43"/>
    </row>
    <row r="69" spans="1:27" x14ac:dyDescent="0.25">
      <c r="A69" s="2" t="s">
        <v>238</v>
      </c>
      <c r="B69" s="2">
        <v>85</v>
      </c>
      <c r="C69" s="2">
        <v>15</v>
      </c>
      <c r="D69" s="32">
        <f t="shared" si="1"/>
        <v>100</v>
      </c>
      <c r="N69" s="43"/>
      <c r="O69" s="43"/>
      <c r="P69" s="43"/>
      <c r="Q69" s="43"/>
      <c r="R69" s="43"/>
      <c r="S69" s="43"/>
      <c r="T69" s="43"/>
      <c r="U69" s="43"/>
      <c r="V69" s="43"/>
      <c r="W69" s="43"/>
      <c r="X69" s="43"/>
      <c r="Y69" s="43"/>
      <c r="Z69" s="43"/>
      <c r="AA69" s="43"/>
    </row>
    <row r="70" spans="1:27" x14ac:dyDescent="0.25">
      <c r="A70" s="2" t="s">
        <v>236</v>
      </c>
      <c r="B70" s="2">
        <v>90</v>
      </c>
      <c r="C70" s="2">
        <v>10</v>
      </c>
      <c r="D70" s="32">
        <f t="shared" ref="D70:D72" si="2">SUM(B70:C70)</f>
        <v>100</v>
      </c>
      <c r="N70" s="43"/>
      <c r="O70" s="43"/>
      <c r="P70" s="43"/>
      <c r="Q70" s="43"/>
      <c r="R70" s="43"/>
      <c r="S70" s="43"/>
      <c r="T70" s="43"/>
      <c r="U70" s="43"/>
      <c r="V70" s="43"/>
      <c r="W70" s="43"/>
      <c r="X70" s="43"/>
      <c r="Y70" s="43"/>
      <c r="Z70" s="43"/>
      <c r="AA70" s="43"/>
    </row>
    <row r="71" spans="1:27" x14ac:dyDescent="0.25">
      <c r="A71" s="2" t="s">
        <v>238</v>
      </c>
      <c r="B71" s="2">
        <v>90</v>
      </c>
      <c r="C71" s="2">
        <v>10</v>
      </c>
      <c r="D71" s="32">
        <f t="shared" si="2"/>
        <v>100</v>
      </c>
      <c r="N71" s="43"/>
      <c r="O71" s="43"/>
      <c r="P71" s="43"/>
      <c r="Q71" s="43"/>
      <c r="R71" s="43"/>
      <c r="S71" s="43"/>
      <c r="T71" s="43"/>
      <c r="U71" s="43"/>
      <c r="V71" s="43"/>
      <c r="W71" s="43"/>
      <c r="X71" s="43"/>
      <c r="Y71" s="43"/>
      <c r="Z71" s="43"/>
      <c r="AA71" s="43"/>
    </row>
    <row r="72" spans="1:27" x14ac:dyDescent="0.25">
      <c r="A72" s="2" t="s">
        <v>238</v>
      </c>
      <c r="B72" s="2">
        <v>99</v>
      </c>
      <c r="C72" s="2">
        <v>1</v>
      </c>
      <c r="D72" s="32">
        <f t="shared" si="2"/>
        <v>100</v>
      </c>
      <c r="N72" s="43"/>
      <c r="O72" s="43"/>
      <c r="P72" s="43"/>
      <c r="Q72" s="43"/>
      <c r="R72" s="43"/>
      <c r="S72" s="43"/>
      <c r="T72" s="43"/>
      <c r="U72" s="43"/>
      <c r="V72" s="43"/>
      <c r="W72" s="43"/>
      <c r="X72" s="43"/>
      <c r="Y72" s="43"/>
      <c r="Z72" s="43"/>
      <c r="AA72" s="43"/>
    </row>
    <row r="73" spans="1:27" x14ac:dyDescent="0.25">
      <c r="N73" s="43"/>
      <c r="O73" s="43"/>
      <c r="P73" s="43"/>
      <c r="Q73" s="43"/>
      <c r="R73" s="43"/>
      <c r="S73" s="43"/>
      <c r="T73" s="43"/>
      <c r="U73" s="43"/>
      <c r="V73" s="43"/>
      <c r="W73" s="43"/>
      <c r="X73" s="43"/>
      <c r="Y73" s="43"/>
      <c r="Z73" s="43"/>
      <c r="AA73" s="43"/>
    </row>
    <row r="74" spans="1:27" x14ac:dyDescent="0.25">
      <c r="B74">
        <f>SUM(B5:B73)</f>
        <v>2310</v>
      </c>
      <c r="C74" s="19">
        <f>SUM(C5:C73)</f>
        <v>4490</v>
      </c>
      <c r="N74" s="43"/>
      <c r="O74" s="43"/>
      <c r="P74" s="43"/>
      <c r="Q74" s="43"/>
      <c r="R74" s="43"/>
      <c r="S74" s="43"/>
      <c r="T74" s="43"/>
      <c r="U74" s="43"/>
      <c r="V74" s="43"/>
      <c r="W74" s="43"/>
      <c r="X74" s="43"/>
      <c r="Y74" s="43"/>
      <c r="Z74" s="43"/>
      <c r="AA74" s="43"/>
    </row>
    <row r="75" spans="1:27" x14ac:dyDescent="0.25">
      <c r="N75" s="43"/>
      <c r="O75" s="43"/>
      <c r="P75" s="43"/>
      <c r="Q75" s="43"/>
      <c r="R75" s="43"/>
      <c r="S75" s="43"/>
      <c r="T75" s="43"/>
      <c r="U75" s="43"/>
      <c r="V75" s="43"/>
      <c r="W75" s="43"/>
      <c r="X75" s="43"/>
      <c r="Y75" s="43"/>
      <c r="Z75" s="43"/>
      <c r="AA75" s="43"/>
    </row>
    <row r="76" spans="1:27" x14ac:dyDescent="0.25">
      <c r="N76" s="43"/>
      <c r="O76" s="43"/>
      <c r="P76" s="43"/>
      <c r="Q76" s="43"/>
      <c r="R76" s="43"/>
      <c r="S76" s="43"/>
      <c r="T76" s="43"/>
      <c r="U76" s="43"/>
      <c r="V76" s="43"/>
      <c r="W76" s="43"/>
      <c r="X76" s="43"/>
      <c r="Y76" s="43"/>
      <c r="Z76" s="43"/>
      <c r="AA76" s="43"/>
    </row>
    <row r="77" spans="1:27" x14ac:dyDescent="0.25">
      <c r="N77" s="43"/>
      <c r="O77" s="43"/>
      <c r="P77" s="43"/>
      <c r="Q77" s="43"/>
      <c r="R77" s="43"/>
      <c r="S77" s="43"/>
      <c r="T77" s="43"/>
      <c r="U77" s="43"/>
      <c r="V77" s="43"/>
      <c r="W77" s="43"/>
      <c r="X77" s="43"/>
      <c r="Y77" s="43"/>
      <c r="Z77" s="43"/>
      <c r="AA77" s="43"/>
    </row>
    <row r="78" spans="1:27" x14ac:dyDescent="0.25">
      <c r="N78" s="43"/>
      <c r="O78" s="43"/>
      <c r="P78" s="43"/>
      <c r="Q78" s="43"/>
      <c r="R78" s="43"/>
      <c r="S78" s="43"/>
      <c r="T78" s="43"/>
      <c r="U78" s="43"/>
      <c r="V78" s="43"/>
      <c r="W78" s="43"/>
      <c r="X78" s="43"/>
      <c r="Y78" s="43"/>
      <c r="Z78" s="43"/>
      <c r="AA78" s="43"/>
    </row>
    <row r="79" spans="1:27" x14ac:dyDescent="0.25">
      <c r="N79" s="43"/>
      <c r="O79" s="43"/>
      <c r="P79" s="43"/>
      <c r="Q79" s="43"/>
      <c r="R79" s="43"/>
      <c r="S79" s="43"/>
      <c r="T79" s="43"/>
      <c r="U79" s="43"/>
      <c r="V79" s="43"/>
      <c r="W79" s="43"/>
      <c r="X79" s="43"/>
      <c r="Y79" s="43"/>
      <c r="Z79" s="43"/>
      <c r="AA79" s="43"/>
    </row>
    <row r="80" spans="1:27" x14ac:dyDescent="0.25">
      <c r="N80" s="43"/>
      <c r="O80" s="43"/>
      <c r="P80" s="43"/>
      <c r="Q80" s="43"/>
      <c r="R80" s="43"/>
      <c r="S80" s="43"/>
      <c r="T80" s="43"/>
      <c r="U80" s="43"/>
      <c r="V80" s="43"/>
      <c r="W80" s="43"/>
      <c r="X80" s="43"/>
      <c r="Y80" s="43"/>
      <c r="Z80" s="43"/>
      <c r="AA80" s="43"/>
    </row>
    <row r="81" spans="14:27" x14ac:dyDescent="0.25">
      <c r="N81" s="43"/>
      <c r="O81" s="43"/>
      <c r="P81" s="43"/>
      <c r="Q81" s="43"/>
      <c r="R81" s="43"/>
      <c r="S81" s="43"/>
      <c r="T81" s="43"/>
      <c r="U81" s="43"/>
      <c r="V81" s="43"/>
      <c r="W81" s="43"/>
      <c r="X81" s="43"/>
      <c r="Y81" s="43"/>
      <c r="Z81" s="43"/>
      <c r="AA81" s="43"/>
    </row>
    <row r="82" spans="14:27" x14ac:dyDescent="0.25">
      <c r="N82" s="43"/>
      <c r="O82" s="43"/>
      <c r="P82" s="43"/>
      <c r="Q82" s="43"/>
      <c r="R82" s="43"/>
      <c r="S82" s="43"/>
      <c r="T82" s="43"/>
      <c r="U82" s="43"/>
      <c r="V82" s="43"/>
      <c r="W82" s="43"/>
      <c r="X82" s="43"/>
      <c r="Y82" s="43"/>
      <c r="Z82" s="43"/>
      <c r="AA82" s="43"/>
    </row>
    <row r="83" spans="14:27" x14ac:dyDescent="0.25">
      <c r="N83" s="43"/>
      <c r="O83" s="43"/>
      <c r="P83" s="43"/>
      <c r="Q83" s="43"/>
      <c r="R83" s="43"/>
      <c r="S83" s="43"/>
      <c r="T83" s="43"/>
      <c r="U83" s="43"/>
      <c r="V83" s="43"/>
      <c r="W83" s="43"/>
      <c r="X83" s="43"/>
      <c r="Y83" s="43"/>
      <c r="Z83" s="43"/>
      <c r="AA83" s="43"/>
    </row>
    <row r="84" spans="14:27" x14ac:dyDescent="0.25">
      <c r="N84" s="43"/>
      <c r="O84" s="43"/>
      <c r="P84" s="43"/>
      <c r="Q84" s="43"/>
      <c r="R84" s="43"/>
      <c r="S84" s="43"/>
      <c r="T84" s="43"/>
      <c r="U84" s="43"/>
      <c r="V84" s="43"/>
      <c r="W84" s="43"/>
      <c r="X84" s="43"/>
      <c r="Y84" s="43"/>
      <c r="Z84" s="43"/>
      <c r="AA84" s="43"/>
    </row>
    <row r="85" spans="14:27" x14ac:dyDescent="0.25">
      <c r="N85" s="43"/>
      <c r="O85" s="43"/>
      <c r="P85" s="43"/>
      <c r="Q85" s="43"/>
      <c r="R85" s="43"/>
      <c r="S85" s="43"/>
      <c r="T85" s="43"/>
      <c r="U85" s="43"/>
      <c r="V85" s="43"/>
      <c r="W85" s="43"/>
      <c r="X85" s="43"/>
      <c r="Y85" s="43"/>
      <c r="Z85" s="43"/>
      <c r="AA85" s="43"/>
    </row>
    <row r="86" spans="14:27" x14ac:dyDescent="0.25">
      <c r="N86" s="43"/>
      <c r="O86" s="43"/>
      <c r="P86" s="43"/>
      <c r="Q86" s="43"/>
      <c r="R86" s="43"/>
      <c r="S86" s="43"/>
      <c r="T86" s="43"/>
      <c r="U86" s="43"/>
      <c r="V86" s="43"/>
      <c r="W86" s="43"/>
      <c r="X86" s="43"/>
      <c r="Y86" s="43"/>
      <c r="Z86" s="43"/>
      <c r="AA86" s="43"/>
    </row>
    <row r="87" spans="14:27" x14ac:dyDescent="0.25">
      <c r="N87" s="43"/>
      <c r="O87" s="43"/>
      <c r="P87" s="43"/>
      <c r="Q87" s="43"/>
      <c r="R87" s="43"/>
      <c r="S87" s="43"/>
      <c r="T87" s="43"/>
      <c r="U87" s="43"/>
      <c r="V87" s="43"/>
      <c r="W87" s="43"/>
      <c r="X87" s="43"/>
      <c r="Y87" s="43"/>
      <c r="Z87" s="43"/>
      <c r="AA87" s="43"/>
    </row>
    <row r="88" spans="14:27" x14ac:dyDescent="0.25">
      <c r="N88" s="43"/>
      <c r="O88" s="43"/>
      <c r="P88" s="43"/>
      <c r="Q88" s="43"/>
      <c r="R88" s="43"/>
      <c r="S88" s="43"/>
      <c r="T88" s="43"/>
      <c r="U88" s="43"/>
      <c r="V88" s="43"/>
      <c r="W88" s="43"/>
      <c r="X88" s="43"/>
      <c r="Y88" s="43"/>
      <c r="Z88" s="43"/>
      <c r="AA88" s="43"/>
    </row>
    <row r="89" spans="14:27" x14ac:dyDescent="0.25">
      <c r="N89" s="43"/>
      <c r="O89" s="43"/>
      <c r="P89" s="43"/>
      <c r="Q89" s="43"/>
      <c r="R89" s="43"/>
      <c r="S89" s="43"/>
      <c r="T89" s="43"/>
      <c r="U89" s="43"/>
      <c r="V89" s="43"/>
      <c r="W89" s="43"/>
      <c r="X89" s="43"/>
      <c r="Y89" s="43"/>
      <c r="Z89" s="43"/>
      <c r="AA89" s="43"/>
    </row>
    <row r="90" spans="14:27" x14ac:dyDescent="0.25">
      <c r="N90" s="43"/>
      <c r="O90" s="43"/>
      <c r="P90" s="43"/>
      <c r="Q90" s="43"/>
      <c r="R90" s="43"/>
      <c r="S90" s="43"/>
      <c r="T90" s="43"/>
      <c r="U90" s="43"/>
      <c r="V90" s="43"/>
      <c r="W90" s="43"/>
      <c r="X90" s="43"/>
      <c r="Y90" s="43"/>
      <c r="Z90" s="43"/>
      <c r="AA90" s="43"/>
    </row>
    <row r="91" spans="14:27" x14ac:dyDescent="0.25">
      <c r="N91" s="43"/>
      <c r="O91" s="43"/>
      <c r="P91" s="43"/>
      <c r="Q91" s="43"/>
      <c r="R91" s="43"/>
      <c r="S91" s="43"/>
      <c r="T91" s="43"/>
      <c r="U91" s="43"/>
      <c r="V91" s="43"/>
      <c r="W91" s="43"/>
      <c r="X91" s="43"/>
      <c r="Y91" s="43"/>
      <c r="Z91" s="43"/>
      <c r="AA91" s="43"/>
    </row>
    <row r="92" spans="14:27" x14ac:dyDescent="0.25">
      <c r="N92" s="43"/>
      <c r="O92" s="43"/>
      <c r="P92" s="43"/>
      <c r="Q92" s="43"/>
      <c r="R92" s="43"/>
      <c r="S92" s="43"/>
      <c r="T92" s="43"/>
      <c r="U92" s="43"/>
      <c r="V92" s="43"/>
      <c r="W92" s="43"/>
      <c r="X92" s="43"/>
      <c r="Y92" s="43"/>
      <c r="Z92" s="43"/>
      <c r="AA92" s="43"/>
    </row>
    <row r="93" spans="14:27" x14ac:dyDescent="0.25">
      <c r="N93" s="43"/>
      <c r="O93" s="43"/>
      <c r="P93" s="43"/>
      <c r="Q93" s="43"/>
      <c r="R93" s="43"/>
      <c r="S93" s="43"/>
      <c r="T93" s="43"/>
      <c r="U93" s="43"/>
      <c r="V93" s="43"/>
      <c r="W93" s="43"/>
      <c r="X93" s="43"/>
      <c r="Y93" s="43"/>
      <c r="Z93" s="43"/>
      <c r="AA93" s="43"/>
    </row>
    <row r="94" spans="14:27" x14ac:dyDescent="0.25">
      <c r="N94" s="43"/>
      <c r="O94" s="43"/>
      <c r="P94" s="43"/>
      <c r="Q94" s="43"/>
      <c r="R94" s="43"/>
      <c r="S94" s="43"/>
      <c r="T94" s="43"/>
      <c r="U94" s="43"/>
      <c r="V94" s="43"/>
      <c r="W94" s="43"/>
      <c r="X94" s="43"/>
      <c r="Y94" s="43"/>
      <c r="Z94" s="43"/>
      <c r="AA94" s="43"/>
    </row>
    <row r="95" spans="14:27" x14ac:dyDescent="0.25">
      <c r="N95" s="43"/>
      <c r="O95" s="43"/>
      <c r="P95" s="43"/>
      <c r="Q95" s="43"/>
      <c r="R95" s="43"/>
      <c r="S95" s="43"/>
      <c r="T95" s="43"/>
      <c r="U95" s="43"/>
      <c r="V95" s="43"/>
      <c r="W95" s="43"/>
      <c r="X95" s="43"/>
      <c r="Y95" s="43"/>
      <c r="Z95" s="43"/>
      <c r="AA95" s="43"/>
    </row>
    <row r="96" spans="14:27" x14ac:dyDescent="0.25">
      <c r="N96" s="43"/>
      <c r="O96" s="43"/>
      <c r="P96" s="43"/>
      <c r="Q96" s="43"/>
      <c r="R96" s="43"/>
      <c r="S96" s="43"/>
      <c r="T96" s="43"/>
      <c r="U96" s="43"/>
      <c r="V96" s="43"/>
      <c r="W96" s="43"/>
      <c r="X96" s="43"/>
      <c r="Y96" s="43"/>
      <c r="Z96" s="43"/>
      <c r="AA96" s="43"/>
    </row>
    <row r="97" spans="14:27" x14ac:dyDescent="0.25">
      <c r="N97" s="43"/>
      <c r="O97" s="43"/>
      <c r="P97" s="43"/>
      <c r="Q97" s="43"/>
      <c r="R97" s="43"/>
      <c r="S97" s="43"/>
      <c r="T97" s="43"/>
      <c r="U97" s="43"/>
      <c r="V97" s="43"/>
      <c r="W97" s="43"/>
      <c r="X97" s="43"/>
      <c r="Y97" s="43"/>
      <c r="Z97" s="43"/>
      <c r="AA97" s="43"/>
    </row>
    <row r="98" spans="14:27" x14ac:dyDescent="0.25">
      <c r="N98" s="43"/>
      <c r="O98" s="43"/>
      <c r="P98" s="43"/>
      <c r="Q98" s="43"/>
      <c r="R98" s="43"/>
      <c r="S98" s="43"/>
      <c r="T98" s="43"/>
      <c r="U98" s="43"/>
      <c r="V98" s="43"/>
      <c r="W98" s="43"/>
      <c r="X98" s="43"/>
      <c r="Y98" s="43"/>
      <c r="Z98" s="43"/>
      <c r="AA98" s="43"/>
    </row>
    <row r="99" spans="14:27" x14ac:dyDescent="0.25">
      <c r="N99" s="43"/>
      <c r="O99" s="43"/>
      <c r="P99" s="43"/>
      <c r="Q99" s="43"/>
      <c r="R99" s="43"/>
      <c r="S99" s="43"/>
      <c r="T99" s="43"/>
      <c r="U99" s="43"/>
      <c r="V99" s="43"/>
      <c r="W99" s="43"/>
      <c r="X99" s="43"/>
      <c r="Y99" s="43"/>
      <c r="Z99" s="43"/>
      <c r="AA99" s="43"/>
    </row>
    <row r="100" spans="14:27" x14ac:dyDescent="0.25">
      <c r="N100" s="43"/>
      <c r="O100" s="43"/>
      <c r="P100" s="43"/>
      <c r="Q100" s="43"/>
      <c r="R100" s="43"/>
      <c r="S100" s="43"/>
      <c r="T100" s="43"/>
      <c r="U100" s="43"/>
      <c r="V100" s="43"/>
      <c r="W100" s="43"/>
      <c r="X100" s="43"/>
      <c r="Y100" s="43"/>
      <c r="Z100" s="43"/>
      <c r="AA100" s="43"/>
    </row>
    <row r="101" spans="14:27" x14ac:dyDescent="0.25">
      <c r="N101" s="43"/>
      <c r="O101" s="43"/>
      <c r="P101" s="43"/>
      <c r="Q101" s="43"/>
      <c r="R101" s="43"/>
      <c r="S101" s="43"/>
      <c r="T101" s="43"/>
      <c r="U101" s="43"/>
      <c r="V101" s="43"/>
      <c r="W101" s="43"/>
      <c r="X101" s="43"/>
      <c r="Y101" s="43"/>
      <c r="Z101" s="43"/>
      <c r="AA101" s="43"/>
    </row>
    <row r="102" spans="14:27" x14ac:dyDescent="0.25">
      <c r="N102" s="43"/>
      <c r="O102" s="43"/>
      <c r="P102" s="43"/>
      <c r="Q102" s="43"/>
      <c r="R102" s="43"/>
      <c r="S102" s="43"/>
      <c r="T102" s="43"/>
      <c r="U102" s="43"/>
      <c r="V102" s="43"/>
      <c r="W102" s="43"/>
      <c r="X102" s="43"/>
      <c r="Y102" s="43"/>
      <c r="Z102" s="43"/>
      <c r="AA102" s="43"/>
    </row>
    <row r="103" spans="14:27" x14ac:dyDescent="0.25">
      <c r="N103" s="43"/>
      <c r="O103" s="43"/>
      <c r="P103" s="43"/>
      <c r="Q103" s="43"/>
      <c r="R103" s="43"/>
      <c r="S103" s="43"/>
      <c r="T103" s="43"/>
      <c r="U103" s="43"/>
      <c r="V103" s="43"/>
      <c r="W103" s="43"/>
      <c r="X103" s="43"/>
      <c r="Y103" s="43"/>
      <c r="Z103" s="43"/>
      <c r="AA103" s="43"/>
    </row>
    <row r="104" spans="14:27" x14ac:dyDescent="0.25">
      <c r="N104" s="43"/>
      <c r="O104" s="43"/>
      <c r="P104" s="43"/>
      <c r="Q104" s="43"/>
      <c r="R104" s="43"/>
      <c r="S104" s="43"/>
      <c r="T104" s="43"/>
      <c r="U104" s="43"/>
      <c r="V104" s="43"/>
      <c r="W104" s="43"/>
      <c r="X104" s="43"/>
      <c r="Y104" s="43"/>
      <c r="Z104" s="43"/>
      <c r="AA104" s="43"/>
    </row>
    <row r="105" spans="14:27" x14ac:dyDescent="0.25">
      <c r="N105" s="43"/>
      <c r="O105" s="43"/>
      <c r="P105" s="43"/>
      <c r="Q105" s="43"/>
      <c r="R105" s="43"/>
      <c r="S105" s="43"/>
      <c r="T105" s="43"/>
      <c r="U105" s="43"/>
      <c r="V105" s="43"/>
      <c r="W105" s="43"/>
      <c r="X105" s="43"/>
      <c r="Y105" s="43"/>
      <c r="Z105" s="43"/>
      <c r="AA105" s="43"/>
    </row>
    <row r="106" spans="14:27" x14ac:dyDescent="0.25">
      <c r="N106" s="43"/>
      <c r="O106" s="43"/>
      <c r="P106" s="43"/>
      <c r="Q106" s="43"/>
      <c r="R106" s="43"/>
      <c r="S106" s="43"/>
      <c r="T106" s="43"/>
      <c r="U106" s="43"/>
      <c r="V106" s="43"/>
      <c r="W106" s="43"/>
      <c r="X106" s="43"/>
      <c r="Y106" s="43"/>
      <c r="Z106" s="43"/>
      <c r="AA106" s="43"/>
    </row>
    <row r="107" spans="14:27" x14ac:dyDescent="0.25">
      <c r="N107" s="43"/>
      <c r="O107" s="43"/>
      <c r="P107" s="43"/>
      <c r="Q107" s="43"/>
      <c r="R107" s="43"/>
      <c r="S107" s="43"/>
      <c r="T107" s="43"/>
      <c r="U107" s="43"/>
      <c r="V107" s="43"/>
      <c r="W107" s="43"/>
      <c r="X107" s="43"/>
      <c r="Y107" s="43"/>
      <c r="Z107" s="43"/>
      <c r="AA107" s="43"/>
    </row>
    <row r="108" spans="14:27" x14ac:dyDescent="0.25">
      <c r="N108" s="43"/>
      <c r="O108" s="43"/>
      <c r="P108" s="43"/>
      <c r="Q108" s="43"/>
      <c r="R108" s="43"/>
      <c r="S108" s="43"/>
      <c r="T108" s="43"/>
      <c r="U108" s="43"/>
      <c r="V108" s="43"/>
      <c r="W108" s="43"/>
      <c r="X108" s="43"/>
      <c r="Y108" s="43"/>
      <c r="Z108" s="43"/>
      <c r="AA108" s="43"/>
    </row>
    <row r="109" spans="14:27" x14ac:dyDescent="0.25">
      <c r="N109" s="43"/>
      <c r="O109" s="43"/>
      <c r="P109" s="43"/>
      <c r="Q109" s="43"/>
      <c r="R109" s="43"/>
      <c r="S109" s="43"/>
      <c r="T109" s="43"/>
      <c r="U109" s="43"/>
      <c r="V109" s="43"/>
      <c r="W109" s="43"/>
      <c r="X109" s="43"/>
      <c r="Y109" s="43"/>
      <c r="Z109" s="43"/>
      <c r="AA109" s="43"/>
    </row>
    <row r="110" spans="14:27" x14ac:dyDescent="0.25">
      <c r="N110" s="43"/>
      <c r="O110" s="43"/>
      <c r="P110" s="43"/>
      <c r="Q110" s="43"/>
      <c r="R110" s="43"/>
      <c r="S110" s="43"/>
      <c r="T110" s="43"/>
      <c r="U110" s="43"/>
      <c r="V110" s="43"/>
      <c r="W110" s="43"/>
      <c r="X110" s="43"/>
      <c r="Y110" s="43"/>
      <c r="Z110" s="43"/>
      <c r="AA110" s="43"/>
    </row>
    <row r="111" spans="14:27" x14ac:dyDescent="0.25">
      <c r="N111" s="43"/>
      <c r="O111" s="43"/>
      <c r="P111" s="43"/>
      <c r="Q111" s="43"/>
      <c r="R111" s="43"/>
      <c r="S111" s="43"/>
      <c r="T111" s="43"/>
      <c r="U111" s="43"/>
      <c r="V111" s="43"/>
      <c r="W111" s="43"/>
      <c r="X111" s="43"/>
      <c r="Y111" s="43"/>
      <c r="Z111" s="43"/>
      <c r="AA111" s="43"/>
    </row>
    <row r="112" spans="14:27" x14ac:dyDescent="0.25">
      <c r="N112" s="43"/>
      <c r="O112" s="43"/>
      <c r="P112" s="43"/>
      <c r="Q112" s="43"/>
      <c r="R112" s="43"/>
      <c r="S112" s="43"/>
      <c r="T112" s="43"/>
      <c r="U112" s="43"/>
      <c r="V112" s="43"/>
      <c r="W112" s="43"/>
      <c r="X112" s="43"/>
      <c r="Y112" s="43"/>
      <c r="Z112" s="43"/>
      <c r="AA112" s="43"/>
    </row>
    <row r="113" spans="14:27" x14ac:dyDescent="0.25">
      <c r="N113" s="43"/>
      <c r="O113" s="43"/>
      <c r="P113" s="43"/>
      <c r="Q113" s="43"/>
      <c r="R113" s="43"/>
      <c r="S113" s="43"/>
      <c r="T113" s="43"/>
      <c r="U113" s="43"/>
      <c r="V113" s="43"/>
      <c r="W113" s="43"/>
      <c r="X113" s="43"/>
      <c r="Y113" s="43"/>
      <c r="Z113" s="43"/>
      <c r="AA113" s="43"/>
    </row>
    <row r="114" spans="14:27" x14ac:dyDescent="0.25">
      <c r="N114" s="43"/>
      <c r="O114" s="43"/>
      <c r="P114" s="43"/>
      <c r="Q114" s="43"/>
      <c r="R114" s="43"/>
      <c r="S114" s="43"/>
      <c r="T114" s="43"/>
      <c r="U114" s="43"/>
      <c r="V114" s="43"/>
      <c r="W114" s="43"/>
      <c r="X114" s="43"/>
      <c r="Y114" s="43"/>
      <c r="Z114" s="43"/>
      <c r="AA114" s="43"/>
    </row>
    <row r="115" spans="14:27" x14ac:dyDescent="0.25">
      <c r="N115" s="43"/>
      <c r="O115" s="43"/>
      <c r="P115" s="43"/>
      <c r="Q115" s="43"/>
      <c r="R115" s="43"/>
      <c r="S115" s="43"/>
      <c r="T115" s="43"/>
      <c r="U115" s="43"/>
      <c r="V115" s="43"/>
      <c r="W115" s="43"/>
      <c r="X115" s="43"/>
      <c r="Y115" s="43"/>
      <c r="Z115" s="43"/>
      <c r="AA115" s="43"/>
    </row>
    <row r="116" spans="14:27" x14ac:dyDescent="0.25">
      <c r="N116" s="43"/>
      <c r="O116" s="43"/>
      <c r="P116" s="43"/>
      <c r="Q116" s="43"/>
      <c r="R116" s="43"/>
      <c r="S116" s="43"/>
      <c r="T116" s="43"/>
      <c r="U116" s="43"/>
      <c r="V116" s="43"/>
      <c r="W116" s="43"/>
      <c r="X116" s="43"/>
      <c r="Y116" s="43"/>
      <c r="Z116" s="43"/>
      <c r="AA116" s="43"/>
    </row>
    <row r="117" spans="14:27" x14ac:dyDescent="0.25">
      <c r="N117" s="43"/>
      <c r="O117" s="43"/>
      <c r="P117" s="43"/>
      <c r="Q117" s="43"/>
      <c r="R117" s="43"/>
      <c r="S117" s="43"/>
      <c r="T117" s="43"/>
      <c r="U117" s="43"/>
      <c r="V117" s="43"/>
      <c r="W117" s="43"/>
      <c r="X117" s="43"/>
      <c r="Y117" s="43"/>
      <c r="Z117" s="43"/>
      <c r="AA117" s="43"/>
    </row>
    <row r="118" spans="14:27" x14ac:dyDescent="0.25">
      <c r="N118" s="43"/>
      <c r="O118" s="43"/>
      <c r="P118" s="43"/>
      <c r="Q118" s="43"/>
      <c r="R118" s="43"/>
      <c r="S118" s="43"/>
      <c r="T118" s="43"/>
      <c r="U118" s="43"/>
      <c r="V118" s="43"/>
      <c r="W118" s="43"/>
      <c r="X118" s="43"/>
      <c r="Y118" s="43"/>
      <c r="Z118" s="43"/>
      <c r="AA118" s="43"/>
    </row>
    <row r="119" spans="14:27" x14ac:dyDescent="0.25">
      <c r="N119" s="43"/>
      <c r="O119" s="43"/>
      <c r="P119" s="43"/>
      <c r="Q119" s="43"/>
      <c r="R119" s="43"/>
      <c r="S119" s="43"/>
      <c r="T119" s="43"/>
      <c r="U119" s="43"/>
      <c r="V119" s="43"/>
      <c r="W119" s="43"/>
      <c r="X119" s="43"/>
      <c r="Y119" s="43"/>
      <c r="Z119" s="43"/>
      <c r="AA119" s="43"/>
    </row>
    <row r="120" spans="14:27" x14ac:dyDescent="0.25">
      <c r="N120" s="43"/>
      <c r="O120" s="43"/>
      <c r="P120" s="43"/>
      <c r="Q120" s="43"/>
      <c r="R120" s="43"/>
      <c r="S120" s="43"/>
      <c r="T120" s="43"/>
      <c r="U120" s="43"/>
      <c r="V120" s="43"/>
      <c r="W120" s="43"/>
      <c r="X120" s="43"/>
      <c r="Y120" s="43"/>
      <c r="Z120" s="43"/>
      <c r="AA120" s="43"/>
    </row>
    <row r="121" spans="14:27" x14ac:dyDescent="0.25">
      <c r="N121" s="43"/>
      <c r="O121" s="43"/>
      <c r="P121" s="43"/>
      <c r="Q121" s="43"/>
      <c r="R121" s="43"/>
      <c r="S121" s="43"/>
      <c r="T121" s="43"/>
      <c r="U121" s="43"/>
      <c r="V121" s="43"/>
      <c r="W121" s="43"/>
      <c r="X121" s="43"/>
      <c r="Y121" s="43"/>
      <c r="Z121" s="43"/>
      <c r="AA121" s="43"/>
    </row>
    <row r="122" spans="14:27" x14ac:dyDescent="0.25">
      <c r="N122" s="43"/>
      <c r="O122" s="43"/>
      <c r="P122" s="43"/>
      <c r="Q122" s="43"/>
      <c r="R122" s="43"/>
      <c r="S122" s="43"/>
      <c r="T122" s="43"/>
      <c r="U122" s="43"/>
      <c r="V122" s="43"/>
      <c r="W122" s="43"/>
      <c r="X122" s="43"/>
      <c r="Y122" s="43"/>
      <c r="Z122" s="43"/>
      <c r="AA122" s="43"/>
    </row>
    <row r="123" spans="14:27" x14ac:dyDescent="0.25">
      <c r="N123" s="43"/>
      <c r="O123" s="43"/>
      <c r="P123" s="43"/>
      <c r="Q123" s="43"/>
      <c r="R123" s="43"/>
      <c r="S123" s="43"/>
      <c r="T123" s="43"/>
      <c r="U123" s="43"/>
      <c r="V123" s="43"/>
      <c r="W123" s="43"/>
      <c r="X123" s="43"/>
      <c r="Y123" s="43"/>
      <c r="Z123" s="43"/>
      <c r="AA123" s="43"/>
    </row>
    <row r="124" spans="14:27" x14ac:dyDescent="0.25">
      <c r="N124" s="43"/>
      <c r="O124" s="43"/>
      <c r="P124" s="43"/>
      <c r="Q124" s="43"/>
      <c r="R124" s="43"/>
      <c r="S124" s="43"/>
      <c r="T124" s="43"/>
      <c r="U124" s="43"/>
      <c r="V124" s="43"/>
      <c r="W124" s="43"/>
      <c r="X124" s="43"/>
      <c r="Y124" s="43"/>
      <c r="Z124" s="43"/>
      <c r="AA124" s="43"/>
    </row>
  </sheetData>
  <sortState ref="N5:P73">
    <sortCondition ref="N5:N73"/>
    <sortCondition ref="O5:O73"/>
  </sortState>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workbookViewId="0"/>
  </sheetViews>
  <sheetFormatPr defaultRowHeight="15" x14ac:dyDescent="0.25"/>
  <cols>
    <col min="2" max="2" width="16.7109375" bestFit="1" customWidth="1"/>
    <col min="3" max="3" width="16.5703125" bestFit="1" customWidth="1"/>
    <col min="4" max="4" width="9.28515625" style="32"/>
    <col min="6" max="6" width="16.5703125" bestFit="1" customWidth="1"/>
  </cols>
  <sheetData>
    <row r="1" spans="1:9" x14ac:dyDescent="0.25">
      <c r="A1" s="15" t="s">
        <v>487</v>
      </c>
    </row>
    <row r="3" spans="1:9" x14ac:dyDescent="0.25">
      <c r="A3" s="43"/>
      <c r="B3" s="43" t="s">
        <v>489</v>
      </c>
      <c r="C3" s="43" t="s">
        <v>490</v>
      </c>
      <c r="D3" s="6"/>
      <c r="F3" t="s">
        <v>469</v>
      </c>
      <c r="G3">
        <v>2017</v>
      </c>
      <c r="H3">
        <v>2015</v>
      </c>
      <c r="I3">
        <v>2013</v>
      </c>
    </row>
    <row r="4" spans="1:9" x14ac:dyDescent="0.25">
      <c r="A4" s="2" t="s">
        <v>236</v>
      </c>
      <c r="B4" s="3">
        <v>0</v>
      </c>
      <c r="C4" s="3">
        <v>100</v>
      </c>
      <c r="D4" s="32">
        <f>SUM(B4:C4)</f>
        <v>100</v>
      </c>
      <c r="F4" s="43" t="s">
        <v>489</v>
      </c>
      <c r="G4" s="49">
        <f>B73/68</f>
        <v>67.397058823529406</v>
      </c>
      <c r="H4">
        <v>69</v>
      </c>
      <c r="I4">
        <v>68</v>
      </c>
    </row>
    <row r="5" spans="1:9" x14ac:dyDescent="0.25">
      <c r="A5" s="2" t="s">
        <v>236</v>
      </c>
      <c r="B5" s="2">
        <v>0</v>
      </c>
      <c r="C5" s="2">
        <v>100</v>
      </c>
      <c r="D5" s="32">
        <f t="shared" ref="D5:D68" si="0">SUM(B5:C5)</f>
        <v>100</v>
      </c>
      <c r="F5" s="43" t="s">
        <v>490</v>
      </c>
      <c r="G5" s="49">
        <f>C73/68</f>
        <v>32.602941176470587</v>
      </c>
      <c r="H5">
        <v>31</v>
      </c>
      <c r="I5">
        <v>32</v>
      </c>
    </row>
    <row r="6" spans="1:9" x14ac:dyDescent="0.25">
      <c r="A6" s="2" t="s">
        <v>236</v>
      </c>
      <c r="B6" s="2">
        <v>5</v>
      </c>
      <c r="C6" s="2">
        <v>95</v>
      </c>
      <c r="D6" s="32">
        <f t="shared" si="0"/>
        <v>100</v>
      </c>
    </row>
    <row r="7" spans="1:9" x14ac:dyDescent="0.25">
      <c r="A7" s="2" t="s">
        <v>236</v>
      </c>
      <c r="B7" s="2">
        <v>5</v>
      </c>
      <c r="C7" s="2">
        <v>95</v>
      </c>
      <c r="D7" s="32">
        <f t="shared" si="0"/>
        <v>100</v>
      </c>
    </row>
    <row r="8" spans="1:9" x14ac:dyDescent="0.25">
      <c r="A8" s="2" t="s">
        <v>236</v>
      </c>
      <c r="B8" s="2">
        <v>10</v>
      </c>
      <c r="C8" s="2">
        <v>90</v>
      </c>
      <c r="D8" s="32">
        <f t="shared" si="0"/>
        <v>100</v>
      </c>
    </row>
    <row r="9" spans="1:9" x14ac:dyDescent="0.25">
      <c r="A9" s="2" t="s">
        <v>238</v>
      </c>
      <c r="B9" s="2">
        <v>10</v>
      </c>
      <c r="C9" s="2">
        <v>90</v>
      </c>
      <c r="D9" s="32">
        <f t="shared" si="0"/>
        <v>100</v>
      </c>
    </row>
    <row r="10" spans="1:9" x14ac:dyDescent="0.25">
      <c r="A10" s="2" t="s">
        <v>238</v>
      </c>
      <c r="B10" s="2">
        <v>15</v>
      </c>
      <c r="C10" s="2">
        <v>85</v>
      </c>
      <c r="D10" s="32">
        <f t="shared" si="0"/>
        <v>100</v>
      </c>
    </row>
    <row r="11" spans="1:9" x14ac:dyDescent="0.25">
      <c r="A11" s="2" t="s">
        <v>238</v>
      </c>
      <c r="B11" s="2">
        <v>15</v>
      </c>
      <c r="C11" s="2">
        <v>85</v>
      </c>
      <c r="D11" s="32">
        <f t="shared" si="0"/>
        <v>100</v>
      </c>
    </row>
    <row r="12" spans="1:9" x14ac:dyDescent="0.25">
      <c r="A12" s="2" t="s">
        <v>238</v>
      </c>
      <c r="B12" s="2">
        <v>25</v>
      </c>
      <c r="C12" s="2">
        <v>75</v>
      </c>
      <c r="D12" s="32">
        <f t="shared" si="0"/>
        <v>100</v>
      </c>
    </row>
    <row r="13" spans="1:9" x14ac:dyDescent="0.25">
      <c r="A13" s="2" t="s">
        <v>238</v>
      </c>
      <c r="B13" s="2">
        <v>30</v>
      </c>
      <c r="C13" s="2">
        <v>70</v>
      </c>
      <c r="D13" s="32">
        <f t="shared" si="0"/>
        <v>100</v>
      </c>
    </row>
    <row r="14" spans="1:9" x14ac:dyDescent="0.25">
      <c r="A14" s="2" t="s">
        <v>238</v>
      </c>
      <c r="B14" s="2">
        <v>30</v>
      </c>
      <c r="C14" s="2">
        <v>70</v>
      </c>
      <c r="D14" s="32">
        <f t="shared" si="0"/>
        <v>100</v>
      </c>
    </row>
    <row r="15" spans="1:9" x14ac:dyDescent="0.25">
      <c r="A15" s="2" t="s">
        <v>215</v>
      </c>
      <c r="B15" s="2">
        <v>30</v>
      </c>
      <c r="C15" s="2">
        <v>70</v>
      </c>
      <c r="D15" s="32">
        <f t="shared" si="0"/>
        <v>100</v>
      </c>
    </row>
    <row r="16" spans="1:9" x14ac:dyDescent="0.25">
      <c r="A16" s="2" t="s">
        <v>215</v>
      </c>
      <c r="B16" s="2">
        <v>30</v>
      </c>
      <c r="C16" s="2">
        <v>70</v>
      </c>
      <c r="D16" s="32">
        <f t="shared" si="0"/>
        <v>100</v>
      </c>
    </row>
    <row r="17" spans="1:4" x14ac:dyDescent="0.25">
      <c r="A17" s="2" t="s">
        <v>236</v>
      </c>
      <c r="B17" s="2">
        <v>40</v>
      </c>
      <c r="C17" s="2">
        <v>60</v>
      </c>
      <c r="D17" s="32">
        <f t="shared" si="0"/>
        <v>100</v>
      </c>
    </row>
    <row r="18" spans="1:4" x14ac:dyDescent="0.25">
      <c r="A18" s="2" t="s">
        <v>238</v>
      </c>
      <c r="B18" s="2">
        <v>40</v>
      </c>
      <c r="C18" s="2">
        <v>60</v>
      </c>
      <c r="D18" s="32">
        <f t="shared" si="0"/>
        <v>100</v>
      </c>
    </row>
    <row r="19" spans="1:4" x14ac:dyDescent="0.25">
      <c r="A19" s="2" t="s">
        <v>238</v>
      </c>
      <c r="B19" s="2">
        <v>40</v>
      </c>
      <c r="C19" s="2">
        <v>60</v>
      </c>
      <c r="D19" s="32">
        <f t="shared" si="0"/>
        <v>100</v>
      </c>
    </row>
    <row r="20" spans="1:4" x14ac:dyDescent="0.25">
      <c r="A20" s="2" t="s">
        <v>238</v>
      </c>
      <c r="B20" s="2">
        <v>40</v>
      </c>
      <c r="C20" s="2">
        <v>60</v>
      </c>
      <c r="D20" s="32">
        <f t="shared" si="0"/>
        <v>100</v>
      </c>
    </row>
    <row r="21" spans="1:4" x14ac:dyDescent="0.25">
      <c r="A21" s="2" t="s">
        <v>236</v>
      </c>
      <c r="B21" s="2">
        <v>50</v>
      </c>
      <c r="C21" s="2">
        <v>50</v>
      </c>
      <c r="D21" s="32">
        <f t="shared" si="0"/>
        <v>100</v>
      </c>
    </row>
    <row r="22" spans="1:4" x14ac:dyDescent="0.25">
      <c r="A22" s="2" t="s">
        <v>238</v>
      </c>
      <c r="B22" s="2">
        <v>50</v>
      </c>
      <c r="C22" s="2">
        <v>50</v>
      </c>
      <c r="D22" s="32">
        <f t="shared" si="0"/>
        <v>100</v>
      </c>
    </row>
    <row r="23" spans="1:4" x14ac:dyDescent="0.25">
      <c r="A23" s="2" t="s">
        <v>238</v>
      </c>
      <c r="B23" s="2">
        <v>50</v>
      </c>
      <c r="C23" s="2">
        <v>50</v>
      </c>
      <c r="D23" s="32">
        <f t="shared" si="0"/>
        <v>100</v>
      </c>
    </row>
    <row r="24" spans="1:4" x14ac:dyDescent="0.25">
      <c r="A24" s="2" t="s">
        <v>236</v>
      </c>
      <c r="B24" s="2">
        <v>60</v>
      </c>
      <c r="C24" s="2">
        <v>40</v>
      </c>
      <c r="D24" s="32">
        <f t="shared" si="0"/>
        <v>100</v>
      </c>
    </row>
    <row r="25" spans="1:4" x14ac:dyDescent="0.25">
      <c r="A25" s="2" t="s">
        <v>236</v>
      </c>
      <c r="B25" s="2">
        <v>60</v>
      </c>
      <c r="C25" s="2">
        <v>40</v>
      </c>
      <c r="D25" s="32">
        <f t="shared" si="0"/>
        <v>100</v>
      </c>
    </row>
    <row r="26" spans="1:4" x14ac:dyDescent="0.25">
      <c r="A26" s="2" t="s">
        <v>238</v>
      </c>
      <c r="B26" s="2">
        <v>60</v>
      </c>
      <c r="C26" s="2">
        <v>40</v>
      </c>
      <c r="D26" s="32">
        <f t="shared" si="0"/>
        <v>100</v>
      </c>
    </row>
    <row r="27" spans="1:4" x14ac:dyDescent="0.25">
      <c r="A27" s="2" t="s">
        <v>238</v>
      </c>
      <c r="B27" s="2">
        <v>60</v>
      </c>
      <c r="C27" s="2">
        <v>40</v>
      </c>
      <c r="D27" s="32">
        <f t="shared" si="0"/>
        <v>100</v>
      </c>
    </row>
    <row r="28" spans="1:4" x14ac:dyDescent="0.25">
      <c r="A28" s="2" t="s">
        <v>236</v>
      </c>
      <c r="B28" s="2">
        <v>65</v>
      </c>
      <c r="C28" s="2">
        <v>35</v>
      </c>
      <c r="D28" s="32">
        <f t="shared" si="0"/>
        <v>100</v>
      </c>
    </row>
    <row r="29" spans="1:4" x14ac:dyDescent="0.25">
      <c r="A29" s="2" t="s">
        <v>238</v>
      </c>
      <c r="B29" s="2">
        <v>65</v>
      </c>
      <c r="C29" s="2">
        <v>35</v>
      </c>
      <c r="D29" s="32">
        <f t="shared" si="0"/>
        <v>100</v>
      </c>
    </row>
    <row r="30" spans="1:4" x14ac:dyDescent="0.25">
      <c r="A30" s="2" t="s">
        <v>236</v>
      </c>
      <c r="B30" s="3">
        <v>70</v>
      </c>
      <c r="C30" s="3">
        <v>30</v>
      </c>
      <c r="D30" s="32">
        <f t="shared" si="0"/>
        <v>100</v>
      </c>
    </row>
    <row r="31" spans="1:4" x14ac:dyDescent="0.25">
      <c r="A31" s="2" t="s">
        <v>236</v>
      </c>
      <c r="B31" s="2">
        <v>70</v>
      </c>
      <c r="C31" s="2">
        <v>30</v>
      </c>
      <c r="D31" s="32">
        <f t="shared" si="0"/>
        <v>100</v>
      </c>
    </row>
    <row r="32" spans="1:4" x14ac:dyDescent="0.25">
      <c r="A32" s="2" t="s">
        <v>238</v>
      </c>
      <c r="B32" s="2">
        <v>70</v>
      </c>
      <c r="C32" s="2">
        <v>30</v>
      </c>
      <c r="D32" s="32">
        <f t="shared" si="0"/>
        <v>100</v>
      </c>
    </row>
    <row r="33" spans="1:4" x14ac:dyDescent="0.25">
      <c r="A33" s="2" t="s">
        <v>238</v>
      </c>
      <c r="B33" s="2">
        <v>70</v>
      </c>
      <c r="C33" s="2">
        <v>30</v>
      </c>
      <c r="D33" s="32">
        <f t="shared" si="0"/>
        <v>100</v>
      </c>
    </row>
    <row r="34" spans="1:4" x14ac:dyDescent="0.25">
      <c r="A34" s="2" t="s">
        <v>236</v>
      </c>
      <c r="B34" s="2">
        <v>75</v>
      </c>
      <c r="C34" s="2">
        <v>25</v>
      </c>
      <c r="D34" s="32">
        <f t="shared" si="0"/>
        <v>100</v>
      </c>
    </row>
    <row r="35" spans="1:4" x14ac:dyDescent="0.25">
      <c r="A35" s="2" t="s">
        <v>237</v>
      </c>
      <c r="B35" s="2">
        <v>75</v>
      </c>
      <c r="C35" s="2">
        <v>25</v>
      </c>
      <c r="D35" s="32">
        <f t="shared" si="0"/>
        <v>100</v>
      </c>
    </row>
    <row r="36" spans="1:4" x14ac:dyDescent="0.25">
      <c r="A36" s="2" t="s">
        <v>238</v>
      </c>
      <c r="B36" s="2">
        <v>75</v>
      </c>
      <c r="C36" s="2">
        <v>25</v>
      </c>
      <c r="D36" s="32">
        <f t="shared" si="0"/>
        <v>100</v>
      </c>
    </row>
    <row r="37" spans="1:4" x14ac:dyDescent="0.25">
      <c r="A37" s="2" t="s">
        <v>215</v>
      </c>
      <c r="B37" s="2">
        <v>75</v>
      </c>
      <c r="C37" s="2">
        <v>25</v>
      </c>
      <c r="D37" s="32">
        <f t="shared" si="0"/>
        <v>100</v>
      </c>
    </row>
    <row r="38" spans="1:4" x14ac:dyDescent="0.25">
      <c r="A38" s="2" t="s">
        <v>236</v>
      </c>
      <c r="B38" s="2">
        <v>80</v>
      </c>
      <c r="C38" s="2">
        <v>20</v>
      </c>
      <c r="D38" s="32">
        <f t="shared" si="0"/>
        <v>100</v>
      </c>
    </row>
    <row r="39" spans="1:4" x14ac:dyDescent="0.25">
      <c r="A39" s="2" t="s">
        <v>236</v>
      </c>
      <c r="B39" s="2">
        <v>80</v>
      </c>
      <c r="C39" s="2">
        <v>20</v>
      </c>
      <c r="D39" s="32">
        <f t="shared" si="0"/>
        <v>100</v>
      </c>
    </row>
    <row r="40" spans="1:4" x14ac:dyDescent="0.25">
      <c r="A40" s="2" t="s">
        <v>236</v>
      </c>
      <c r="B40" s="2">
        <v>80</v>
      </c>
      <c r="C40" s="2">
        <v>20</v>
      </c>
      <c r="D40" s="32">
        <f t="shared" si="0"/>
        <v>100</v>
      </c>
    </row>
    <row r="41" spans="1:4" x14ac:dyDescent="0.25">
      <c r="A41" s="2" t="s">
        <v>236</v>
      </c>
      <c r="B41" s="3">
        <v>80</v>
      </c>
      <c r="C41" s="3">
        <v>20</v>
      </c>
      <c r="D41" s="32">
        <f t="shared" si="0"/>
        <v>100</v>
      </c>
    </row>
    <row r="42" spans="1:4" x14ac:dyDescent="0.25">
      <c r="A42" s="2" t="s">
        <v>237</v>
      </c>
      <c r="B42" s="2">
        <v>80</v>
      </c>
      <c r="C42" s="2">
        <v>20</v>
      </c>
      <c r="D42" s="32">
        <f t="shared" si="0"/>
        <v>100</v>
      </c>
    </row>
    <row r="43" spans="1:4" x14ac:dyDescent="0.25">
      <c r="A43" s="2" t="s">
        <v>238</v>
      </c>
      <c r="B43" s="2">
        <v>80</v>
      </c>
      <c r="C43" s="2">
        <v>20</v>
      </c>
      <c r="D43" s="32">
        <f t="shared" si="0"/>
        <v>100</v>
      </c>
    </row>
    <row r="44" spans="1:4" x14ac:dyDescent="0.25">
      <c r="A44" s="3" t="s">
        <v>238</v>
      </c>
      <c r="B44" s="3">
        <v>80</v>
      </c>
      <c r="C44" s="3">
        <v>20</v>
      </c>
      <c r="D44" s="32">
        <f t="shared" si="0"/>
        <v>100</v>
      </c>
    </row>
    <row r="45" spans="1:4" x14ac:dyDescent="0.25">
      <c r="A45" s="2" t="s">
        <v>238</v>
      </c>
      <c r="B45" s="2">
        <v>80</v>
      </c>
      <c r="C45" s="2">
        <v>20</v>
      </c>
      <c r="D45" s="32">
        <f t="shared" si="0"/>
        <v>100</v>
      </c>
    </row>
    <row r="46" spans="1:4" x14ac:dyDescent="0.25">
      <c r="A46" s="2" t="s">
        <v>238</v>
      </c>
      <c r="B46" s="2">
        <v>80</v>
      </c>
      <c r="C46" s="2">
        <v>20</v>
      </c>
      <c r="D46" s="32">
        <f t="shared" si="0"/>
        <v>100</v>
      </c>
    </row>
    <row r="47" spans="1:4" x14ac:dyDescent="0.25">
      <c r="A47" s="2" t="s">
        <v>215</v>
      </c>
      <c r="B47" s="2">
        <v>80</v>
      </c>
      <c r="C47" s="2">
        <v>20</v>
      </c>
      <c r="D47" s="32">
        <f t="shared" si="0"/>
        <v>100</v>
      </c>
    </row>
    <row r="48" spans="1:4" x14ac:dyDescent="0.25">
      <c r="A48" s="2" t="s">
        <v>236</v>
      </c>
      <c r="B48" s="2">
        <v>85</v>
      </c>
      <c r="C48" s="2">
        <v>15</v>
      </c>
      <c r="D48" s="32">
        <f t="shared" si="0"/>
        <v>100</v>
      </c>
    </row>
    <row r="49" spans="1:4" x14ac:dyDescent="0.25">
      <c r="A49" s="2" t="s">
        <v>236</v>
      </c>
      <c r="B49" s="2">
        <v>90</v>
      </c>
      <c r="C49" s="2">
        <v>10</v>
      </c>
      <c r="D49" s="32">
        <f t="shared" si="0"/>
        <v>100</v>
      </c>
    </row>
    <row r="50" spans="1:4" x14ac:dyDescent="0.25">
      <c r="A50" s="2" t="s">
        <v>236</v>
      </c>
      <c r="B50" s="2">
        <v>90</v>
      </c>
      <c r="C50" s="2">
        <v>10</v>
      </c>
      <c r="D50" s="32">
        <f t="shared" si="0"/>
        <v>100</v>
      </c>
    </row>
    <row r="51" spans="1:4" x14ac:dyDescent="0.25">
      <c r="A51" s="2" t="s">
        <v>238</v>
      </c>
      <c r="B51" s="2">
        <v>90</v>
      </c>
      <c r="C51" s="2">
        <v>10</v>
      </c>
      <c r="D51" s="32">
        <f t="shared" si="0"/>
        <v>100</v>
      </c>
    </row>
    <row r="52" spans="1:4" x14ac:dyDescent="0.25">
      <c r="A52" s="2" t="s">
        <v>238</v>
      </c>
      <c r="B52" s="2">
        <v>90</v>
      </c>
      <c r="C52" s="2">
        <v>10</v>
      </c>
      <c r="D52" s="32">
        <f t="shared" si="0"/>
        <v>100</v>
      </c>
    </row>
    <row r="53" spans="1:4" x14ac:dyDescent="0.25">
      <c r="A53" s="2" t="s">
        <v>238</v>
      </c>
      <c r="B53" s="2">
        <v>90</v>
      </c>
      <c r="C53" s="2">
        <v>10</v>
      </c>
      <c r="D53" s="32">
        <f t="shared" si="0"/>
        <v>100</v>
      </c>
    </row>
    <row r="54" spans="1:4" x14ac:dyDescent="0.25">
      <c r="A54" s="2" t="s">
        <v>238</v>
      </c>
      <c r="B54" s="2">
        <v>90</v>
      </c>
      <c r="C54" s="2">
        <v>10</v>
      </c>
      <c r="D54" s="32">
        <f t="shared" si="0"/>
        <v>100</v>
      </c>
    </row>
    <row r="55" spans="1:4" x14ac:dyDescent="0.25">
      <c r="A55" s="2" t="s">
        <v>237</v>
      </c>
      <c r="B55" s="2">
        <v>95</v>
      </c>
      <c r="C55" s="2">
        <v>5</v>
      </c>
      <c r="D55" s="32">
        <f t="shared" si="0"/>
        <v>100</v>
      </c>
    </row>
    <row r="56" spans="1:4" x14ac:dyDescent="0.25">
      <c r="A56" s="2" t="s">
        <v>238</v>
      </c>
      <c r="B56" s="2">
        <v>99</v>
      </c>
      <c r="C56" s="2">
        <v>1</v>
      </c>
      <c r="D56" s="32">
        <f t="shared" si="0"/>
        <v>100</v>
      </c>
    </row>
    <row r="57" spans="1:4" x14ac:dyDescent="0.25">
      <c r="A57" s="2" t="s">
        <v>238</v>
      </c>
      <c r="B57" s="2">
        <v>99</v>
      </c>
      <c r="C57" s="2">
        <v>1</v>
      </c>
      <c r="D57" s="32">
        <f t="shared" si="0"/>
        <v>100</v>
      </c>
    </row>
    <row r="58" spans="1:4" x14ac:dyDescent="0.25">
      <c r="A58" s="2" t="s">
        <v>236</v>
      </c>
      <c r="B58" s="2">
        <v>100</v>
      </c>
      <c r="C58" s="2">
        <v>0</v>
      </c>
      <c r="D58" s="32">
        <f t="shared" si="0"/>
        <v>100</v>
      </c>
    </row>
    <row r="59" spans="1:4" x14ac:dyDescent="0.25">
      <c r="A59" s="2" t="s">
        <v>236</v>
      </c>
      <c r="B59" s="2">
        <v>100</v>
      </c>
      <c r="C59" s="2">
        <v>0</v>
      </c>
      <c r="D59" s="32">
        <f t="shared" si="0"/>
        <v>100</v>
      </c>
    </row>
    <row r="60" spans="1:4" x14ac:dyDescent="0.25">
      <c r="A60" s="2" t="s">
        <v>238</v>
      </c>
      <c r="B60" s="2">
        <v>100</v>
      </c>
      <c r="C60" s="2">
        <v>0</v>
      </c>
      <c r="D60" s="32">
        <f t="shared" si="0"/>
        <v>100</v>
      </c>
    </row>
    <row r="61" spans="1:4" x14ac:dyDescent="0.25">
      <c r="A61" s="2" t="s">
        <v>238</v>
      </c>
      <c r="B61" s="2">
        <v>100</v>
      </c>
      <c r="C61" s="2">
        <v>0</v>
      </c>
      <c r="D61" s="32">
        <f t="shared" si="0"/>
        <v>100</v>
      </c>
    </row>
    <row r="62" spans="1:4" x14ac:dyDescent="0.25">
      <c r="A62" s="2" t="s">
        <v>238</v>
      </c>
      <c r="B62" s="2">
        <v>100</v>
      </c>
      <c r="C62" s="2">
        <v>0</v>
      </c>
      <c r="D62" s="32">
        <f t="shared" si="0"/>
        <v>100</v>
      </c>
    </row>
    <row r="63" spans="1:4" x14ac:dyDescent="0.25">
      <c r="A63" s="2" t="s">
        <v>238</v>
      </c>
      <c r="B63" s="2">
        <v>100</v>
      </c>
      <c r="C63" s="2">
        <v>0</v>
      </c>
      <c r="D63" s="32">
        <f t="shared" si="0"/>
        <v>100</v>
      </c>
    </row>
    <row r="64" spans="1:4" x14ac:dyDescent="0.25">
      <c r="A64" s="2" t="s">
        <v>238</v>
      </c>
      <c r="B64" s="2">
        <v>100</v>
      </c>
      <c r="C64" s="2">
        <v>0</v>
      </c>
      <c r="D64" s="32">
        <f t="shared" si="0"/>
        <v>100</v>
      </c>
    </row>
    <row r="65" spans="1:4" x14ac:dyDescent="0.25">
      <c r="A65" s="2" t="s">
        <v>238</v>
      </c>
      <c r="B65" s="2">
        <v>100</v>
      </c>
      <c r="C65" s="2">
        <v>0</v>
      </c>
      <c r="D65" s="32">
        <f t="shared" si="0"/>
        <v>100</v>
      </c>
    </row>
    <row r="66" spans="1:4" x14ac:dyDescent="0.25">
      <c r="A66" s="2" t="s">
        <v>238</v>
      </c>
      <c r="B66" s="2">
        <v>100</v>
      </c>
      <c r="C66" s="2">
        <v>0</v>
      </c>
      <c r="D66" s="32">
        <f t="shared" si="0"/>
        <v>100</v>
      </c>
    </row>
    <row r="67" spans="1:4" x14ac:dyDescent="0.25">
      <c r="A67" s="2" t="s">
        <v>238</v>
      </c>
      <c r="B67" s="2">
        <v>100</v>
      </c>
      <c r="C67" s="2">
        <v>0</v>
      </c>
      <c r="D67" s="32">
        <f t="shared" si="0"/>
        <v>100</v>
      </c>
    </row>
    <row r="68" spans="1:4" x14ac:dyDescent="0.25">
      <c r="A68" s="2" t="s">
        <v>238</v>
      </c>
      <c r="B68" s="2">
        <v>100</v>
      </c>
      <c r="C68" s="2">
        <v>0</v>
      </c>
      <c r="D68" s="32">
        <f t="shared" si="0"/>
        <v>100</v>
      </c>
    </row>
    <row r="69" spans="1:4" x14ac:dyDescent="0.25">
      <c r="A69" s="2" t="s">
        <v>238</v>
      </c>
      <c r="B69" s="2">
        <v>100</v>
      </c>
      <c r="C69" s="2">
        <v>0</v>
      </c>
      <c r="D69" s="32">
        <f t="shared" ref="D69:D71" si="1">SUM(B69:C69)</f>
        <v>100</v>
      </c>
    </row>
    <row r="70" spans="1:4" x14ac:dyDescent="0.25">
      <c r="A70" s="2" t="s">
        <v>238</v>
      </c>
      <c r="B70" s="2">
        <v>100</v>
      </c>
      <c r="C70" s="2">
        <v>0</v>
      </c>
      <c r="D70" s="32">
        <f t="shared" si="1"/>
        <v>100</v>
      </c>
    </row>
    <row r="71" spans="1:4" x14ac:dyDescent="0.25">
      <c r="A71" s="2" t="s">
        <v>215</v>
      </c>
      <c r="B71" s="2">
        <v>100</v>
      </c>
      <c r="C71" s="2">
        <v>0</v>
      </c>
      <c r="D71" s="32">
        <f t="shared" si="1"/>
        <v>100</v>
      </c>
    </row>
    <row r="73" spans="1:4" x14ac:dyDescent="0.25">
      <c r="B73">
        <f>SUM(B4:B72)</f>
        <v>4583</v>
      </c>
      <c r="C73" s="19">
        <f>SUM(C4:C72)</f>
        <v>2217</v>
      </c>
    </row>
  </sheetData>
  <sortState ref="A4:C151">
    <sortCondition ref="B4:B151"/>
  </sortState>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workbookViewId="0"/>
  </sheetViews>
  <sheetFormatPr defaultRowHeight="15" x14ac:dyDescent="0.25"/>
  <cols>
    <col min="1" max="1" width="15.28515625" customWidth="1"/>
    <col min="11" max="11" width="9.140625" style="32"/>
    <col min="12" max="12" width="22.28515625" style="47" customWidth="1"/>
    <col min="13" max="13" width="45.5703125" bestFit="1" customWidth="1"/>
  </cols>
  <sheetData>
    <row r="1" spans="1:18" x14ac:dyDescent="0.25">
      <c r="A1" s="62" t="s">
        <v>491</v>
      </c>
      <c r="B1" s="43"/>
    </row>
    <row r="2" spans="1:18" x14ac:dyDescent="0.25">
      <c r="A2" s="15" t="s">
        <v>492</v>
      </c>
      <c r="B2" s="43"/>
      <c r="P2" s="1">
        <v>2013</v>
      </c>
    </row>
    <row r="3" spans="1:18" x14ac:dyDescent="0.25">
      <c r="B3" s="43"/>
      <c r="M3" s="43" t="s">
        <v>510</v>
      </c>
    </row>
    <row r="4" spans="1:18" x14ac:dyDescent="0.25">
      <c r="B4" s="43" t="s">
        <v>85</v>
      </c>
      <c r="C4" t="s">
        <v>503</v>
      </c>
      <c r="D4" t="s">
        <v>504</v>
      </c>
      <c r="E4" t="s">
        <v>505</v>
      </c>
      <c r="F4" t="s">
        <v>506</v>
      </c>
      <c r="G4" t="s">
        <v>507</v>
      </c>
      <c r="H4" t="s">
        <v>508</v>
      </c>
      <c r="I4" t="s">
        <v>509</v>
      </c>
      <c r="J4" t="s">
        <v>351</v>
      </c>
      <c r="L4" s="47" t="s">
        <v>499</v>
      </c>
      <c r="M4" s="43" t="s">
        <v>506</v>
      </c>
      <c r="N4" s="34">
        <v>40.94736842105263</v>
      </c>
      <c r="O4" s="34"/>
      <c r="P4" s="34">
        <v>32.299999999999997</v>
      </c>
      <c r="R4" s="19"/>
    </row>
    <row r="5" spans="1:18" x14ac:dyDescent="0.25">
      <c r="A5" s="2" t="s">
        <v>236</v>
      </c>
      <c r="B5" s="2">
        <v>0</v>
      </c>
      <c r="C5" s="2">
        <v>0</v>
      </c>
      <c r="D5" s="2">
        <v>0</v>
      </c>
      <c r="E5" s="2">
        <v>0</v>
      </c>
      <c r="F5" s="2">
        <v>0</v>
      </c>
      <c r="G5" s="2">
        <v>0</v>
      </c>
      <c r="H5" s="2">
        <v>70</v>
      </c>
      <c r="I5" s="2">
        <v>20</v>
      </c>
      <c r="J5" s="2">
        <v>10</v>
      </c>
      <c r="K5" s="6">
        <f>SUM(B5:J5)</f>
        <v>100</v>
      </c>
      <c r="M5" s="43" t="s">
        <v>509</v>
      </c>
      <c r="N5" s="34">
        <v>16.228070175438596</v>
      </c>
      <c r="O5" s="34"/>
      <c r="P5" s="34">
        <v>13.7</v>
      </c>
      <c r="R5" s="19"/>
    </row>
    <row r="6" spans="1:18" x14ac:dyDescent="0.25">
      <c r="A6" s="2" t="s">
        <v>236</v>
      </c>
      <c r="B6" s="2">
        <v>0</v>
      </c>
      <c r="C6" s="2">
        <v>0</v>
      </c>
      <c r="D6" s="2">
        <v>0</v>
      </c>
      <c r="E6" s="2">
        <v>0</v>
      </c>
      <c r="F6" s="2">
        <v>0</v>
      </c>
      <c r="G6" s="2">
        <v>0</v>
      </c>
      <c r="H6" s="2">
        <v>0</v>
      </c>
      <c r="I6" s="2">
        <v>100</v>
      </c>
      <c r="J6" s="2">
        <v>0</v>
      </c>
      <c r="K6" s="6">
        <f t="shared" ref="K6:K61" si="0">SUM(B6:J6)</f>
        <v>100</v>
      </c>
      <c r="M6" s="43" t="s">
        <v>508</v>
      </c>
      <c r="N6" s="34">
        <v>14.982456140350877</v>
      </c>
      <c r="O6" s="34"/>
      <c r="P6" s="34">
        <v>22.7</v>
      </c>
      <c r="R6" s="19"/>
    </row>
    <row r="7" spans="1:18" x14ac:dyDescent="0.25">
      <c r="A7" s="2" t="s">
        <v>236</v>
      </c>
      <c r="B7" s="2">
        <v>0</v>
      </c>
      <c r="C7" s="2">
        <v>0</v>
      </c>
      <c r="D7" s="2">
        <v>0</v>
      </c>
      <c r="E7" s="2">
        <v>0</v>
      </c>
      <c r="F7" s="2">
        <v>100</v>
      </c>
      <c r="G7" s="2">
        <v>0</v>
      </c>
      <c r="H7" s="2">
        <v>0</v>
      </c>
      <c r="I7" s="2">
        <v>0</v>
      </c>
      <c r="J7" s="2">
        <v>0</v>
      </c>
      <c r="K7" s="6">
        <f t="shared" si="0"/>
        <v>100</v>
      </c>
      <c r="M7" s="43" t="s">
        <v>85</v>
      </c>
      <c r="N7" s="34">
        <v>9.6666666666666661</v>
      </c>
      <c r="O7" s="34"/>
      <c r="P7" s="34">
        <v>8.6999999999999993</v>
      </c>
      <c r="R7" s="19"/>
    </row>
    <row r="8" spans="1:18" x14ac:dyDescent="0.25">
      <c r="A8" s="2" t="s">
        <v>236</v>
      </c>
      <c r="B8" s="2">
        <v>0</v>
      </c>
      <c r="C8" s="2">
        <v>0</v>
      </c>
      <c r="D8" s="2">
        <v>0</v>
      </c>
      <c r="E8" s="2">
        <v>2</v>
      </c>
      <c r="F8" s="2">
        <v>91</v>
      </c>
      <c r="G8" s="2">
        <v>0</v>
      </c>
      <c r="H8" s="2">
        <v>2</v>
      </c>
      <c r="I8" s="2">
        <v>5</v>
      </c>
      <c r="J8" s="2">
        <v>0</v>
      </c>
      <c r="K8" s="6">
        <f t="shared" si="0"/>
        <v>100</v>
      </c>
      <c r="M8" s="43" t="s">
        <v>503</v>
      </c>
      <c r="N8" s="34">
        <v>8.2456140350877192</v>
      </c>
      <c r="O8" s="34"/>
      <c r="P8" s="34">
        <v>10.1</v>
      </c>
      <c r="R8" s="19"/>
    </row>
    <row r="9" spans="1:18" x14ac:dyDescent="0.25">
      <c r="A9" s="2" t="s">
        <v>236</v>
      </c>
      <c r="B9" s="3">
        <v>0</v>
      </c>
      <c r="C9" s="3">
        <v>0</v>
      </c>
      <c r="D9" s="3">
        <v>0</v>
      </c>
      <c r="E9" s="3">
        <v>0</v>
      </c>
      <c r="F9" s="3">
        <v>100</v>
      </c>
      <c r="G9" s="3">
        <v>0</v>
      </c>
      <c r="H9" s="3">
        <v>0</v>
      </c>
      <c r="I9" s="3">
        <v>0</v>
      </c>
      <c r="J9" s="3">
        <v>0</v>
      </c>
      <c r="K9" s="6">
        <f t="shared" si="0"/>
        <v>100</v>
      </c>
      <c r="M9" s="43" t="s">
        <v>511</v>
      </c>
      <c r="N9" s="34">
        <v>3.9824561403508771</v>
      </c>
      <c r="O9" s="34"/>
      <c r="P9" s="34">
        <v>4.0999999999999996</v>
      </c>
      <c r="R9" s="19"/>
    </row>
    <row r="10" spans="1:18" x14ac:dyDescent="0.25">
      <c r="A10" s="2" t="s">
        <v>238</v>
      </c>
      <c r="B10" s="2">
        <v>0</v>
      </c>
      <c r="C10" s="2">
        <v>0</v>
      </c>
      <c r="D10" s="2">
        <v>0</v>
      </c>
      <c r="E10" s="2">
        <v>0</v>
      </c>
      <c r="F10" s="2">
        <v>0</v>
      </c>
      <c r="G10" s="2">
        <v>0</v>
      </c>
      <c r="H10" s="2">
        <v>0</v>
      </c>
      <c r="I10" s="2">
        <v>100</v>
      </c>
      <c r="J10" s="2">
        <v>0</v>
      </c>
      <c r="K10" s="6">
        <f t="shared" si="0"/>
        <v>100</v>
      </c>
      <c r="M10" s="43" t="s">
        <v>507</v>
      </c>
      <c r="N10" s="34">
        <v>2.2982456140350878</v>
      </c>
      <c r="O10" s="34"/>
      <c r="P10" s="34">
        <v>2.2000000000000002</v>
      </c>
      <c r="R10" s="19"/>
    </row>
    <row r="11" spans="1:18" x14ac:dyDescent="0.25">
      <c r="A11" s="2" t="s">
        <v>238</v>
      </c>
      <c r="B11" s="2">
        <v>0</v>
      </c>
      <c r="C11" s="2">
        <v>0</v>
      </c>
      <c r="D11" s="2">
        <v>0</v>
      </c>
      <c r="E11" s="2">
        <v>0</v>
      </c>
      <c r="F11" s="2">
        <v>0</v>
      </c>
      <c r="G11" s="2">
        <v>0</v>
      </c>
      <c r="H11" s="2">
        <v>50</v>
      </c>
      <c r="I11" s="2">
        <v>0</v>
      </c>
      <c r="J11" s="2">
        <v>50</v>
      </c>
      <c r="K11" s="6">
        <f t="shared" si="0"/>
        <v>100</v>
      </c>
      <c r="L11" s="51" t="s">
        <v>143</v>
      </c>
      <c r="M11" s="43" t="s">
        <v>504</v>
      </c>
      <c r="N11" s="34">
        <v>1.9473684210526316</v>
      </c>
      <c r="O11" s="34"/>
      <c r="P11" s="34">
        <v>3.3</v>
      </c>
      <c r="R11" s="19"/>
    </row>
    <row r="12" spans="1:18" x14ac:dyDescent="0.25">
      <c r="A12" s="2" t="s">
        <v>238</v>
      </c>
      <c r="B12" s="2">
        <v>0</v>
      </c>
      <c r="C12" s="2">
        <v>0</v>
      </c>
      <c r="D12" s="2">
        <v>0</v>
      </c>
      <c r="E12" s="2">
        <v>0</v>
      </c>
      <c r="F12" s="2">
        <v>100</v>
      </c>
      <c r="G12" s="2">
        <v>0</v>
      </c>
      <c r="H12" s="2">
        <v>0</v>
      </c>
      <c r="I12" s="2">
        <v>0</v>
      </c>
      <c r="J12" s="2">
        <v>0</v>
      </c>
      <c r="K12" s="6">
        <f t="shared" si="0"/>
        <v>100</v>
      </c>
      <c r="M12" s="43" t="s">
        <v>351</v>
      </c>
      <c r="N12" s="34">
        <v>1.7017543859649122</v>
      </c>
      <c r="O12" s="34"/>
      <c r="P12" s="34">
        <v>2.9</v>
      </c>
      <c r="R12" s="19"/>
    </row>
    <row r="13" spans="1:18" x14ac:dyDescent="0.25">
      <c r="A13" s="2" t="s">
        <v>238</v>
      </c>
      <c r="B13" s="2">
        <v>0</v>
      </c>
      <c r="C13" s="2">
        <v>0</v>
      </c>
      <c r="D13" s="2">
        <v>0</v>
      </c>
      <c r="E13" s="2">
        <v>0</v>
      </c>
      <c r="F13" s="2">
        <v>70</v>
      </c>
      <c r="G13" s="2">
        <v>0</v>
      </c>
      <c r="H13" s="2">
        <v>20</v>
      </c>
      <c r="I13" s="2">
        <v>10</v>
      </c>
      <c r="J13" s="2">
        <v>0</v>
      </c>
      <c r="K13" s="6">
        <f t="shared" si="0"/>
        <v>100</v>
      </c>
      <c r="N13" s="34">
        <f>SUM(N4:N12)</f>
        <v>100</v>
      </c>
      <c r="P13" s="19"/>
      <c r="Q13" s="25"/>
    </row>
    <row r="14" spans="1:18" x14ac:dyDescent="0.25">
      <c r="A14" s="2" t="s">
        <v>238</v>
      </c>
      <c r="B14" s="2">
        <v>0</v>
      </c>
      <c r="C14" s="2">
        <v>0</v>
      </c>
      <c r="D14" s="2">
        <v>0</v>
      </c>
      <c r="E14" s="2">
        <v>0</v>
      </c>
      <c r="F14" s="2">
        <v>80</v>
      </c>
      <c r="G14" s="2">
        <v>0</v>
      </c>
      <c r="H14" s="2">
        <v>0</v>
      </c>
      <c r="I14" s="2">
        <v>20</v>
      </c>
      <c r="J14" s="2">
        <v>0</v>
      </c>
      <c r="K14" s="6">
        <f t="shared" si="0"/>
        <v>100</v>
      </c>
    </row>
    <row r="15" spans="1:18" x14ac:dyDescent="0.25">
      <c r="A15" s="2" t="s">
        <v>238</v>
      </c>
      <c r="B15" s="2">
        <v>0</v>
      </c>
      <c r="C15" s="2">
        <v>0</v>
      </c>
      <c r="D15" s="2">
        <v>0</v>
      </c>
      <c r="E15" s="2">
        <v>0</v>
      </c>
      <c r="F15" s="2">
        <v>100</v>
      </c>
      <c r="G15" s="2">
        <v>0</v>
      </c>
      <c r="H15" s="2">
        <v>0</v>
      </c>
      <c r="I15" s="2">
        <v>0</v>
      </c>
      <c r="J15" s="2">
        <v>0</v>
      </c>
      <c r="K15" s="6">
        <f t="shared" si="0"/>
        <v>100</v>
      </c>
    </row>
    <row r="16" spans="1:18" x14ac:dyDescent="0.25">
      <c r="A16" s="2" t="s">
        <v>215</v>
      </c>
      <c r="B16" s="2">
        <v>0</v>
      </c>
      <c r="C16" s="2">
        <v>0</v>
      </c>
      <c r="D16" s="2">
        <v>0</v>
      </c>
      <c r="E16" s="2">
        <v>10</v>
      </c>
      <c r="F16" s="2">
        <v>80</v>
      </c>
      <c r="G16" s="2">
        <v>4</v>
      </c>
      <c r="H16" s="2">
        <v>6</v>
      </c>
      <c r="I16" s="2">
        <v>0</v>
      </c>
      <c r="J16" s="2">
        <v>0</v>
      </c>
      <c r="K16" s="6">
        <f t="shared" si="0"/>
        <v>100</v>
      </c>
    </row>
    <row r="17" spans="1:12" x14ac:dyDescent="0.25">
      <c r="A17" s="2" t="s">
        <v>236</v>
      </c>
      <c r="B17" s="2">
        <v>0</v>
      </c>
      <c r="C17" s="2">
        <v>5</v>
      </c>
      <c r="D17" s="2">
        <v>5</v>
      </c>
      <c r="E17" s="2">
        <v>0</v>
      </c>
      <c r="F17" s="2">
        <v>75</v>
      </c>
      <c r="G17" s="2">
        <v>0</v>
      </c>
      <c r="H17" s="2">
        <v>15</v>
      </c>
      <c r="I17" s="2">
        <v>0</v>
      </c>
      <c r="J17" s="2">
        <v>0</v>
      </c>
      <c r="K17" s="6">
        <f t="shared" si="0"/>
        <v>100</v>
      </c>
    </row>
    <row r="18" spans="1:12" x14ac:dyDescent="0.25">
      <c r="A18" s="2" t="s">
        <v>236</v>
      </c>
      <c r="B18" s="2">
        <v>0</v>
      </c>
      <c r="C18" s="2">
        <v>5</v>
      </c>
      <c r="D18" s="2">
        <v>0</v>
      </c>
      <c r="E18" s="2">
        <v>5</v>
      </c>
      <c r="F18" s="2">
        <v>25</v>
      </c>
      <c r="G18" s="2">
        <v>0</v>
      </c>
      <c r="H18" s="2">
        <v>60</v>
      </c>
      <c r="I18" s="2">
        <v>5</v>
      </c>
      <c r="J18" s="2">
        <v>0</v>
      </c>
      <c r="K18" s="6">
        <f t="shared" si="0"/>
        <v>100</v>
      </c>
    </row>
    <row r="19" spans="1:12" x14ac:dyDescent="0.25">
      <c r="A19" s="2" t="s">
        <v>238</v>
      </c>
      <c r="B19" s="2">
        <v>0</v>
      </c>
      <c r="C19" s="2">
        <v>5</v>
      </c>
      <c r="D19" s="2">
        <v>10</v>
      </c>
      <c r="E19" s="2">
        <v>0</v>
      </c>
      <c r="F19" s="2">
        <v>35</v>
      </c>
      <c r="G19" s="2">
        <v>0</v>
      </c>
      <c r="H19" s="2">
        <v>50</v>
      </c>
      <c r="I19" s="2">
        <v>0</v>
      </c>
      <c r="J19" s="2">
        <v>0</v>
      </c>
      <c r="K19" s="6">
        <f t="shared" si="0"/>
        <v>100</v>
      </c>
    </row>
    <row r="20" spans="1:12" x14ac:dyDescent="0.25">
      <c r="A20" s="2" t="s">
        <v>215</v>
      </c>
      <c r="B20" s="2">
        <v>0</v>
      </c>
      <c r="C20" s="2">
        <v>10</v>
      </c>
      <c r="D20" s="2">
        <v>0</v>
      </c>
      <c r="E20" s="2">
        <v>10</v>
      </c>
      <c r="F20" s="2">
        <v>40</v>
      </c>
      <c r="G20" s="2">
        <v>0</v>
      </c>
      <c r="H20" s="2">
        <v>20</v>
      </c>
      <c r="I20" s="2">
        <v>20</v>
      </c>
      <c r="J20" s="2">
        <v>0</v>
      </c>
      <c r="K20" s="6">
        <f t="shared" si="0"/>
        <v>100</v>
      </c>
    </row>
    <row r="21" spans="1:12" x14ac:dyDescent="0.25">
      <c r="A21" s="2" t="s">
        <v>238</v>
      </c>
      <c r="B21" s="2">
        <v>0</v>
      </c>
      <c r="C21" s="2">
        <v>50</v>
      </c>
      <c r="D21" s="2">
        <v>0</v>
      </c>
      <c r="E21" s="2">
        <v>0</v>
      </c>
      <c r="F21" s="2">
        <v>50</v>
      </c>
      <c r="G21" s="2">
        <v>0</v>
      </c>
      <c r="H21" s="2">
        <v>0</v>
      </c>
      <c r="I21" s="2">
        <v>0</v>
      </c>
      <c r="J21" s="2">
        <v>0</v>
      </c>
      <c r="K21" s="6">
        <f t="shared" si="0"/>
        <v>100</v>
      </c>
    </row>
    <row r="22" spans="1:12" x14ac:dyDescent="0.25">
      <c r="A22" s="2" t="s">
        <v>238</v>
      </c>
      <c r="B22" s="2">
        <v>1</v>
      </c>
      <c r="C22" s="2">
        <v>4</v>
      </c>
      <c r="D22" s="2">
        <v>0</v>
      </c>
      <c r="E22" s="2">
        <v>5</v>
      </c>
      <c r="F22" s="2">
        <v>70</v>
      </c>
      <c r="G22" s="2">
        <v>0</v>
      </c>
      <c r="H22" s="2">
        <v>10</v>
      </c>
      <c r="I22" s="2">
        <v>10</v>
      </c>
      <c r="J22" s="2">
        <v>0</v>
      </c>
      <c r="K22" s="6">
        <f t="shared" si="0"/>
        <v>100</v>
      </c>
    </row>
    <row r="23" spans="1:12" x14ac:dyDescent="0.25">
      <c r="A23" s="2" t="s">
        <v>215</v>
      </c>
      <c r="B23" s="2">
        <v>3</v>
      </c>
      <c r="C23" s="2">
        <v>5</v>
      </c>
      <c r="D23" s="2">
        <v>2</v>
      </c>
      <c r="E23" s="2">
        <v>0</v>
      </c>
      <c r="F23" s="2">
        <v>75</v>
      </c>
      <c r="G23" s="2">
        <v>0</v>
      </c>
      <c r="H23" s="2">
        <v>15</v>
      </c>
      <c r="I23" s="2">
        <v>0</v>
      </c>
      <c r="J23" s="2">
        <v>0</v>
      </c>
      <c r="K23" s="6">
        <f t="shared" si="0"/>
        <v>100</v>
      </c>
    </row>
    <row r="24" spans="1:12" x14ac:dyDescent="0.25">
      <c r="A24" s="2" t="s">
        <v>236</v>
      </c>
      <c r="B24" s="2">
        <v>5</v>
      </c>
      <c r="C24" s="2">
        <v>0</v>
      </c>
      <c r="D24" s="2">
        <v>0</v>
      </c>
      <c r="E24" s="2">
        <v>10</v>
      </c>
      <c r="F24" s="2">
        <v>75</v>
      </c>
      <c r="G24" s="2">
        <v>0</v>
      </c>
      <c r="H24" s="2">
        <v>0</v>
      </c>
      <c r="I24" s="2">
        <v>10</v>
      </c>
      <c r="J24" s="2">
        <v>0</v>
      </c>
      <c r="K24" s="6">
        <f t="shared" si="0"/>
        <v>100</v>
      </c>
    </row>
    <row r="25" spans="1:12" x14ac:dyDescent="0.25">
      <c r="A25" s="2" t="s">
        <v>238</v>
      </c>
      <c r="B25" s="2">
        <v>5</v>
      </c>
      <c r="C25" s="2">
        <v>0</v>
      </c>
      <c r="D25" s="2">
        <v>0</v>
      </c>
      <c r="E25" s="2">
        <v>0</v>
      </c>
      <c r="F25" s="2">
        <v>0</v>
      </c>
      <c r="G25" s="2">
        <v>0</v>
      </c>
      <c r="H25" s="2">
        <v>0</v>
      </c>
      <c r="I25" s="2">
        <v>95</v>
      </c>
      <c r="J25" s="2">
        <v>0</v>
      </c>
      <c r="K25" s="6">
        <f t="shared" si="0"/>
        <v>100</v>
      </c>
    </row>
    <row r="26" spans="1:12" x14ac:dyDescent="0.25">
      <c r="A26" s="2" t="s">
        <v>236</v>
      </c>
      <c r="B26" s="2">
        <v>5</v>
      </c>
      <c r="C26" s="2">
        <v>3</v>
      </c>
      <c r="D26" s="2">
        <v>5</v>
      </c>
      <c r="E26" s="2">
        <v>2</v>
      </c>
      <c r="F26" s="2">
        <v>60</v>
      </c>
      <c r="G26" s="2">
        <v>5</v>
      </c>
      <c r="H26" s="2">
        <v>10</v>
      </c>
      <c r="I26" s="2">
        <v>10</v>
      </c>
      <c r="J26" s="2">
        <v>0</v>
      </c>
      <c r="K26" s="6">
        <f t="shared" si="0"/>
        <v>100</v>
      </c>
    </row>
    <row r="27" spans="1:12" x14ac:dyDescent="0.25">
      <c r="A27" s="2" t="s">
        <v>236</v>
      </c>
      <c r="B27" s="2">
        <v>5</v>
      </c>
      <c r="C27" s="2">
        <v>5</v>
      </c>
      <c r="D27" s="2">
        <v>0</v>
      </c>
      <c r="E27" s="2">
        <v>0</v>
      </c>
      <c r="F27" s="2">
        <v>80</v>
      </c>
      <c r="G27" s="2">
        <v>0</v>
      </c>
      <c r="H27" s="2">
        <v>5</v>
      </c>
      <c r="I27" s="2">
        <v>5</v>
      </c>
      <c r="J27" s="2">
        <v>0</v>
      </c>
      <c r="K27" s="6">
        <f t="shared" si="0"/>
        <v>100</v>
      </c>
    </row>
    <row r="28" spans="1:12" x14ac:dyDescent="0.25">
      <c r="A28" s="2" t="s">
        <v>238</v>
      </c>
      <c r="B28" s="2">
        <v>5</v>
      </c>
      <c r="C28" s="2">
        <v>5</v>
      </c>
      <c r="D28" s="2">
        <v>5</v>
      </c>
      <c r="E28" s="2">
        <v>10</v>
      </c>
      <c r="F28" s="2">
        <v>40</v>
      </c>
      <c r="G28" s="2">
        <v>0</v>
      </c>
      <c r="H28" s="2">
        <v>30</v>
      </c>
      <c r="I28" s="2">
        <v>5</v>
      </c>
      <c r="J28" s="2">
        <v>0</v>
      </c>
      <c r="K28" s="6">
        <f t="shared" si="0"/>
        <v>100</v>
      </c>
    </row>
    <row r="29" spans="1:12" ht="36.75" x14ac:dyDescent="0.25">
      <c r="A29" s="2" t="s">
        <v>238</v>
      </c>
      <c r="B29" s="2">
        <v>5</v>
      </c>
      <c r="C29" s="2">
        <v>5</v>
      </c>
      <c r="D29" s="2">
        <v>0</v>
      </c>
      <c r="E29" s="2">
        <v>1</v>
      </c>
      <c r="F29" s="2">
        <v>70</v>
      </c>
      <c r="G29" s="2">
        <v>1</v>
      </c>
      <c r="H29" s="2">
        <v>5</v>
      </c>
      <c r="I29" s="2">
        <v>5</v>
      </c>
      <c r="J29" s="2">
        <v>8</v>
      </c>
      <c r="K29" s="6">
        <f t="shared" si="0"/>
        <v>100</v>
      </c>
      <c r="L29" s="51" t="s">
        <v>133</v>
      </c>
    </row>
    <row r="30" spans="1:12" x14ac:dyDescent="0.25">
      <c r="A30" s="2" t="s">
        <v>236</v>
      </c>
      <c r="B30" s="2">
        <v>5</v>
      </c>
      <c r="C30" s="2">
        <v>10</v>
      </c>
      <c r="D30" s="2">
        <v>0</v>
      </c>
      <c r="E30" s="2">
        <v>5</v>
      </c>
      <c r="F30" s="2">
        <v>20</v>
      </c>
      <c r="G30" s="2">
        <v>0</v>
      </c>
      <c r="H30" s="2">
        <v>30</v>
      </c>
      <c r="I30" s="2">
        <v>30</v>
      </c>
      <c r="J30" s="2">
        <v>0</v>
      </c>
      <c r="K30" s="6">
        <f t="shared" si="0"/>
        <v>100</v>
      </c>
    </row>
    <row r="31" spans="1:12" x14ac:dyDescent="0.25">
      <c r="A31" s="2" t="s">
        <v>236</v>
      </c>
      <c r="B31" s="3">
        <v>5</v>
      </c>
      <c r="C31" s="3">
        <v>10</v>
      </c>
      <c r="D31" s="2">
        <v>0</v>
      </c>
      <c r="E31" s="3">
        <v>5</v>
      </c>
      <c r="F31" s="3">
        <v>15</v>
      </c>
      <c r="G31" s="2">
        <v>0</v>
      </c>
      <c r="H31" s="3">
        <v>15</v>
      </c>
      <c r="I31" s="3">
        <v>50</v>
      </c>
      <c r="J31" s="2">
        <v>0</v>
      </c>
      <c r="K31" s="6">
        <f t="shared" si="0"/>
        <v>100</v>
      </c>
    </row>
    <row r="32" spans="1:12" x14ac:dyDescent="0.25">
      <c r="A32" s="2" t="s">
        <v>238</v>
      </c>
      <c r="B32" s="2">
        <v>5</v>
      </c>
      <c r="C32" s="2">
        <v>10</v>
      </c>
      <c r="D32" s="2">
        <v>1</v>
      </c>
      <c r="E32" s="2">
        <v>5</v>
      </c>
      <c r="F32" s="2">
        <v>25</v>
      </c>
      <c r="G32" s="2">
        <v>10</v>
      </c>
      <c r="H32" s="2">
        <v>10</v>
      </c>
      <c r="I32" s="2">
        <v>25</v>
      </c>
      <c r="J32" s="2">
        <v>9</v>
      </c>
      <c r="K32" s="6">
        <f t="shared" si="0"/>
        <v>100</v>
      </c>
    </row>
    <row r="33" spans="1:12" x14ac:dyDescent="0.25">
      <c r="A33" s="2" t="s">
        <v>215</v>
      </c>
      <c r="B33" s="2">
        <v>5</v>
      </c>
      <c r="C33" s="2">
        <v>20</v>
      </c>
      <c r="D33" s="2">
        <v>23</v>
      </c>
      <c r="E33" s="2">
        <v>2</v>
      </c>
      <c r="F33" s="2">
        <v>10</v>
      </c>
      <c r="G33" s="2">
        <v>5</v>
      </c>
      <c r="H33" s="2">
        <v>30</v>
      </c>
      <c r="I33" s="2">
        <v>5</v>
      </c>
      <c r="J33" s="2">
        <v>0</v>
      </c>
      <c r="K33" s="6">
        <f t="shared" si="0"/>
        <v>100</v>
      </c>
      <c r="L33" s="51">
        <v>0</v>
      </c>
    </row>
    <row r="34" spans="1:12" x14ac:dyDescent="0.25">
      <c r="A34" s="2" t="s">
        <v>236</v>
      </c>
      <c r="B34" s="2">
        <v>5</v>
      </c>
      <c r="C34" s="2">
        <v>25</v>
      </c>
      <c r="D34" s="2">
        <v>0</v>
      </c>
      <c r="E34" s="2">
        <v>10</v>
      </c>
      <c r="F34" s="2">
        <v>25</v>
      </c>
      <c r="G34" s="2">
        <v>0</v>
      </c>
      <c r="H34" s="2">
        <v>30</v>
      </c>
      <c r="I34" s="2">
        <v>5</v>
      </c>
      <c r="J34" s="2">
        <v>0</v>
      </c>
      <c r="K34" s="6">
        <f t="shared" si="0"/>
        <v>100</v>
      </c>
    </row>
    <row r="35" spans="1:12" x14ac:dyDescent="0.25">
      <c r="A35" s="2" t="s">
        <v>237</v>
      </c>
      <c r="B35" s="2">
        <v>5</v>
      </c>
      <c r="C35" s="2">
        <v>30</v>
      </c>
      <c r="D35" s="2">
        <v>0</v>
      </c>
      <c r="E35" s="2">
        <v>10</v>
      </c>
      <c r="F35" s="2">
        <v>10</v>
      </c>
      <c r="G35" s="2">
        <v>5</v>
      </c>
      <c r="H35" s="2">
        <v>25</v>
      </c>
      <c r="I35" s="2">
        <v>15</v>
      </c>
      <c r="J35" s="2">
        <v>0</v>
      </c>
      <c r="K35" s="6">
        <f t="shared" si="0"/>
        <v>100</v>
      </c>
    </row>
    <row r="36" spans="1:12" x14ac:dyDescent="0.25">
      <c r="A36" s="2" t="s">
        <v>237</v>
      </c>
      <c r="B36" s="2">
        <v>7</v>
      </c>
      <c r="C36" s="2">
        <v>7</v>
      </c>
      <c r="D36" s="2">
        <v>10</v>
      </c>
      <c r="E36" s="2">
        <v>8</v>
      </c>
      <c r="F36" s="2">
        <v>23</v>
      </c>
      <c r="G36" s="2">
        <v>5</v>
      </c>
      <c r="H36" s="2">
        <v>20</v>
      </c>
      <c r="I36" s="2">
        <v>20</v>
      </c>
      <c r="J36" s="2">
        <v>0</v>
      </c>
      <c r="K36" s="6">
        <f t="shared" si="0"/>
        <v>100</v>
      </c>
    </row>
    <row r="37" spans="1:12" x14ac:dyDescent="0.25">
      <c r="A37" s="2" t="s">
        <v>238</v>
      </c>
      <c r="B37" s="2">
        <v>10</v>
      </c>
      <c r="C37" s="2">
        <v>0</v>
      </c>
      <c r="D37" s="2">
        <v>0</v>
      </c>
      <c r="E37" s="2">
        <v>0</v>
      </c>
      <c r="F37" s="2">
        <v>20</v>
      </c>
      <c r="G37" s="2">
        <v>0</v>
      </c>
      <c r="H37" s="2">
        <v>0</v>
      </c>
      <c r="I37" s="2">
        <v>70</v>
      </c>
      <c r="J37" s="2">
        <v>0</v>
      </c>
      <c r="K37" s="6">
        <f t="shared" si="0"/>
        <v>100</v>
      </c>
    </row>
    <row r="38" spans="1:12" x14ac:dyDescent="0.25">
      <c r="A38" s="2" t="s">
        <v>238</v>
      </c>
      <c r="B38" s="2">
        <v>10</v>
      </c>
      <c r="C38" s="2">
        <v>0</v>
      </c>
      <c r="D38" s="2">
        <v>0</v>
      </c>
      <c r="E38" s="2">
        <v>0</v>
      </c>
      <c r="F38" s="2">
        <v>80</v>
      </c>
      <c r="G38" s="2">
        <v>0</v>
      </c>
      <c r="H38" s="2">
        <v>10</v>
      </c>
      <c r="I38" s="2">
        <v>0</v>
      </c>
      <c r="J38" s="2">
        <v>0</v>
      </c>
      <c r="K38" s="6">
        <f t="shared" si="0"/>
        <v>100</v>
      </c>
    </row>
    <row r="39" spans="1:12" x14ac:dyDescent="0.25">
      <c r="A39" s="2" t="s">
        <v>238</v>
      </c>
      <c r="B39" s="2">
        <v>10</v>
      </c>
      <c r="C39" s="2">
        <v>0</v>
      </c>
      <c r="D39" s="2">
        <v>0</v>
      </c>
      <c r="E39" s="2">
        <v>0</v>
      </c>
      <c r="F39" s="2">
        <v>70</v>
      </c>
      <c r="G39" s="2">
        <v>10</v>
      </c>
      <c r="H39" s="2">
        <v>10</v>
      </c>
      <c r="I39" s="2">
        <v>0</v>
      </c>
      <c r="J39" s="2">
        <v>0</v>
      </c>
      <c r="K39" s="6">
        <f t="shared" si="0"/>
        <v>100</v>
      </c>
    </row>
    <row r="40" spans="1:12" x14ac:dyDescent="0.25">
      <c r="A40" s="2" t="s">
        <v>238</v>
      </c>
      <c r="B40" s="2">
        <v>10</v>
      </c>
      <c r="C40" s="2">
        <v>1</v>
      </c>
      <c r="D40" s="2">
        <v>0</v>
      </c>
      <c r="E40" s="2">
        <v>10</v>
      </c>
      <c r="F40" s="2">
        <v>20</v>
      </c>
      <c r="G40" s="2">
        <v>1</v>
      </c>
      <c r="H40" s="2">
        <v>8</v>
      </c>
      <c r="I40" s="2">
        <v>50</v>
      </c>
      <c r="J40" s="2">
        <v>0</v>
      </c>
      <c r="K40" s="6">
        <f t="shared" si="0"/>
        <v>100</v>
      </c>
    </row>
    <row r="41" spans="1:12" x14ac:dyDescent="0.25">
      <c r="A41" s="2" t="s">
        <v>236</v>
      </c>
      <c r="B41" s="2">
        <v>10</v>
      </c>
      <c r="C41" s="2">
        <v>10</v>
      </c>
      <c r="D41" s="2">
        <v>0</v>
      </c>
      <c r="E41" s="2">
        <v>10</v>
      </c>
      <c r="F41" s="2">
        <v>30</v>
      </c>
      <c r="G41" s="2">
        <v>0</v>
      </c>
      <c r="H41" s="2">
        <v>30</v>
      </c>
      <c r="I41" s="2">
        <v>10</v>
      </c>
      <c r="J41" s="2">
        <v>0</v>
      </c>
      <c r="K41" s="6">
        <f t="shared" si="0"/>
        <v>100</v>
      </c>
    </row>
    <row r="42" spans="1:12" x14ac:dyDescent="0.25">
      <c r="A42" s="2" t="s">
        <v>236</v>
      </c>
      <c r="B42" s="2">
        <v>10</v>
      </c>
      <c r="C42" s="2">
        <v>10</v>
      </c>
      <c r="D42" s="2">
        <v>0</v>
      </c>
      <c r="E42" s="2">
        <v>10</v>
      </c>
      <c r="F42" s="2">
        <v>45</v>
      </c>
      <c r="G42" s="2">
        <v>5</v>
      </c>
      <c r="H42" s="2">
        <v>15</v>
      </c>
      <c r="I42" s="2">
        <v>5</v>
      </c>
      <c r="J42" s="2">
        <v>0</v>
      </c>
      <c r="K42" s="6">
        <f t="shared" si="0"/>
        <v>100</v>
      </c>
    </row>
    <row r="43" spans="1:12" x14ac:dyDescent="0.25">
      <c r="A43" s="2" t="s">
        <v>236</v>
      </c>
      <c r="B43" s="3">
        <v>10</v>
      </c>
      <c r="C43" s="3">
        <v>10</v>
      </c>
      <c r="D43" s="2">
        <v>0</v>
      </c>
      <c r="E43" s="3">
        <v>10</v>
      </c>
      <c r="F43" s="3">
        <v>40</v>
      </c>
      <c r="G43" s="3">
        <v>5</v>
      </c>
      <c r="H43" s="3">
        <v>20</v>
      </c>
      <c r="I43" s="3">
        <v>5</v>
      </c>
      <c r="J43" s="2">
        <v>0</v>
      </c>
      <c r="K43" s="6">
        <f t="shared" si="0"/>
        <v>100</v>
      </c>
    </row>
    <row r="44" spans="1:12" x14ac:dyDescent="0.25">
      <c r="A44" s="2" t="s">
        <v>237</v>
      </c>
      <c r="B44" s="2">
        <v>10</v>
      </c>
      <c r="C44" s="2">
        <v>10</v>
      </c>
      <c r="D44" s="2">
        <v>0</v>
      </c>
      <c r="E44" s="2">
        <v>5</v>
      </c>
      <c r="F44" s="2">
        <v>40</v>
      </c>
      <c r="G44" s="2">
        <v>5</v>
      </c>
      <c r="H44" s="2">
        <v>25</v>
      </c>
      <c r="I44" s="2">
        <v>5</v>
      </c>
      <c r="J44" s="2">
        <v>0</v>
      </c>
      <c r="K44" s="6">
        <f t="shared" si="0"/>
        <v>100</v>
      </c>
    </row>
    <row r="45" spans="1:12" x14ac:dyDescent="0.25">
      <c r="A45" s="2" t="s">
        <v>238</v>
      </c>
      <c r="B45" s="2">
        <v>10</v>
      </c>
      <c r="C45" s="2">
        <v>10</v>
      </c>
      <c r="D45" s="2">
        <v>0</v>
      </c>
      <c r="E45" s="2">
        <v>0</v>
      </c>
      <c r="F45" s="2">
        <v>20</v>
      </c>
      <c r="G45" s="2">
        <v>5</v>
      </c>
      <c r="H45" s="2">
        <v>40</v>
      </c>
      <c r="I45" s="2">
        <v>15</v>
      </c>
      <c r="J45" s="2">
        <v>0</v>
      </c>
      <c r="K45" s="6">
        <f t="shared" si="0"/>
        <v>100</v>
      </c>
    </row>
    <row r="46" spans="1:12" x14ac:dyDescent="0.25">
      <c r="A46" s="2" t="s">
        <v>238</v>
      </c>
      <c r="B46" s="2">
        <v>10</v>
      </c>
      <c r="C46" s="2">
        <v>10</v>
      </c>
      <c r="D46" s="2">
        <v>10</v>
      </c>
      <c r="E46" s="2">
        <v>10</v>
      </c>
      <c r="F46" s="2">
        <v>20</v>
      </c>
      <c r="G46" s="2">
        <v>10</v>
      </c>
      <c r="H46" s="2">
        <v>10</v>
      </c>
      <c r="I46" s="2">
        <v>10</v>
      </c>
      <c r="J46" s="2">
        <v>10</v>
      </c>
      <c r="K46" s="6">
        <f t="shared" si="0"/>
        <v>100</v>
      </c>
      <c r="L46" s="51">
        <v>0</v>
      </c>
    </row>
    <row r="47" spans="1:12" x14ac:dyDescent="0.25">
      <c r="A47" s="2" t="s">
        <v>238</v>
      </c>
      <c r="B47" s="2">
        <v>10</v>
      </c>
      <c r="C47" s="2">
        <v>15</v>
      </c>
      <c r="D47" s="2">
        <v>0</v>
      </c>
      <c r="E47" s="2">
        <v>5</v>
      </c>
      <c r="F47" s="2">
        <v>20</v>
      </c>
      <c r="G47" s="2">
        <v>0</v>
      </c>
      <c r="H47" s="2">
        <v>25</v>
      </c>
      <c r="I47" s="2">
        <v>25</v>
      </c>
      <c r="J47" s="2">
        <v>0</v>
      </c>
      <c r="K47" s="6">
        <f t="shared" si="0"/>
        <v>100</v>
      </c>
    </row>
    <row r="48" spans="1:12" x14ac:dyDescent="0.25">
      <c r="A48" s="2" t="s">
        <v>238</v>
      </c>
      <c r="B48" s="2">
        <v>10</v>
      </c>
      <c r="C48" s="2">
        <v>20</v>
      </c>
      <c r="D48" s="2">
        <v>0</v>
      </c>
      <c r="E48" s="2">
        <v>20</v>
      </c>
      <c r="F48" s="2">
        <v>10</v>
      </c>
      <c r="G48" s="2">
        <v>5</v>
      </c>
      <c r="H48" s="2">
        <v>5</v>
      </c>
      <c r="I48" s="2">
        <v>20</v>
      </c>
      <c r="J48" s="2">
        <v>10</v>
      </c>
      <c r="K48" s="6">
        <f t="shared" si="0"/>
        <v>100</v>
      </c>
    </row>
    <row r="49" spans="1:11" x14ac:dyDescent="0.25">
      <c r="A49" s="2" t="s">
        <v>238</v>
      </c>
      <c r="B49" s="2">
        <v>10</v>
      </c>
      <c r="C49" s="2">
        <v>20</v>
      </c>
      <c r="D49" s="2">
        <v>5</v>
      </c>
      <c r="E49" s="2">
        <v>5</v>
      </c>
      <c r="F49" s="2">
        <v>20</v>
      </c>
      <c r="G49" s="2">
        <v>5</v>
      </c>
      <c r="H49" s="2">
        <v>25</v>
      </c>
      <c r="I49" s="2">
        <v>10</v>
      </c>
      <c r="J49" s="2">
        <v>0</v>
      </c>
      <c r="K49" s="6">
        <f t="shared" si="0"/>
        <v>100</v>
      </c>
    </row>
    <row r="50" spans="1:11" x14ac:dyDescent="0.25">
      <c r="A50" s="2" t="s">
        <v>215</v>
      </c>
      <c r="B50" s="2">
        <v>10</v>
      </c>
      <c r="C50" s="2">
        <v>20</v>
      </c>
      <c r="D50" s="2">
        <v>0</v>
      </c>
      <c r="E50" s="2">
        <v>2</v>
      </c>
      <c r="F50" s="2">
        <v>40</v>
      </c>
      <c r="G50" s="2">
        <v>10</v>
      </c>
      <c r="H50" s="2">
        <v>18</v>
      </c>
      <c r="I50" s="2">
        <v>0</v>
      </c>
      <c r="J50" s="2">
        <v>0</v>
      </c>
      <c r="K50" s="6">
        <f t="shared" si="0"/>
        <v>100</v>
      </c>
    </row>
    <row r="51" spans="1:11" x14ac:dyDescent="0.25">
      <c r="A51" s="2" t="s">
        <v>236</v>
      </c>
      <c r="B51" s="2">
        <v>10</v>
      </c>
      <c r="C51" s="2">
        <v>25</v>
      </c>
      <c r="D51" s="2">
        <v>0</v>
      </c>
      <c r="E51" s="2">
        <v>10</v>
      </c>
      <c r="F51" s="2">
        <v>25</v>
      </c>
      <c r="G51" s="2">
        <v>5</v>
      </c>
      <c r="H51" s="2">
        <v>25</v>
      </c>
      <c r="I51" s="2">
        <v>0</v>
      </c>
      <c r="J51" s="2">
        <v>0</v>
      </c>
      <c r="K51" s="6">
        <f t="shared" si="0"/>
        <v>100</v>
      </c>
    </row>
    <row r="52" spans="1:11" x14ac:dyDescent="0.25">
      <c r="A52" s="2" t="s">
        <v>238</v>
      </c>
      <c r="B52" s="2">
        <v>10</v>
      </c>
      <c r="C52" s="2">
        <v>30</v>
      </c>
      <c r="D52" s="2">
        <v>0</v>
      </c>
      <c r="E52" s="2">
        <v>10</v>
      </c>
      <c r="F52" s="2">
        <v>30</v>
      </c>
      <c r="G52" s="2">
        <v>5</v>
      </c>
      <c r="H52" s="2">
        <v>10</v>
      </c>
      <c r="I52" s="2">
        <v>5</v>
      </c>
      <c r="J52" s="2">
        <v>0</v>
      </c>
      <c r="K52" s="6">
        <f t="shared" si="0"/>
        <v>100</v>
      </c>
    </row>
    <row r="53" spans="1:11" x14ac:dyDescent="0.25">
      <c r="A53" s="2" t="s">
        <v>238</v>
      </c>
      <c r="B53" s="2">
        <v>15</v>
      </c>
      <c r="C53" s="2">
        <v>0</v>
      </c>
      <c r="D53" s="2">
        <v>0</v>
      </c>
      <c r="E53" s="2">
        <v>0</v>
      </c>
      <c r="F53" s="2">
        <v>85</v>
      </c>
      <c r="G53" s="2">
        <v>0</v>
      </c>
      <c r="H53" s="2">
        <v>0</v>
      </c>
      <c r="I53" s="2">
        <v>0</v>
      </c>
      <c r="J53" s="2">
        <v>0</v>
      </c>
      <c r="K53" s="6">
        <f t="shared" si="0"/>
        <v>100</v>
      </c>
    </row>
    <row r="54" spans="1:11" x14ac:dyDescent="0.25">
      <c r="A54" s="3" t="s">
        <v>238</v>
      </c>
      <c r="B54" s="3">
        <v>15</v>
      </c>
      <c r="C54" s="3">
        <v>5</v>
      </c>
      <c r="D54" s="3">
        <v>30</v>
      </c>
      <c r="E54" s="3">
        <v>0</v>
      </c>
      <c r="F54" s="3">
        <v>10</v>
      </c>
      <c r="G54" s="3">
        <v>0</v>
      </c>
      <c r="H54" s="3">
        <v>30</v>
      </c>
      <c r="I54" s="3">
        <v>10</v>
      </c>
      <c r="J54" s="3">
        <v>0</v>
      </c>
      <c r="K54" s="6">
        <f t="shared" si="0"/>
        <v>100</v>
      </c>
    </row>
    <row r="55" spans="1:11" x14ac:dyDescent="0.25">
      <c r="A55" s="2" t="s">
        <v>236</v>
      </c>
      <c r="B55" s="2">
        <v>20</v>
      </c>
      <c r="C55" s="2">
        <v>0</v>
      </c>
      <c r="D55" s="2">
        <v>0</v>
      </c>
      <c r="E55" s="2">
        <v>5</v>
      </c>
      <c r="F55" s="2">
        <v>50</v>
      </c>
      <c r="G55" s="2">
        <v>5</v>
      </c>
      <c r="H55" s="2">
        <v>10</v>
      </c>
      <c r="I55" s="2">
        <v>10</v>
      </c>
      <c r="J55" s="2">
        <v>0</v>
      </c>
      <c r="K55" s="6">
        <f t="shared" si="0"/>
        <v>100</v>
      </c>
    </row>
    <row r="56" spans="1:11" x14ac:dyDescent="0.25">
      <c r="A56" s="2" t="s">
        <v>238</v>
      </c>
      <c r="B56" s="2">
        <v>20</v>
      </c>
      <c r="C56" s="2">
        <v>10</v>
      </c>
      <c r="D56" s="2">
        <v>0</v>
      </c>
      <c r="E56" s="2">
        <v>10</v>
      </c>
      <c r="F56" s="2">
        <v>50</v>
      </c>
      <c r="G56" s="2">
        <v>0</v>
      </c>
      <c r="H56" s="2">
        <v>0</v>
      </c>
      <c r="I56" s="2">
        <v>10</v>
      </c>
      <c r="J56" s="2">
        <v>0</v>
      </c>
      <c r="K56" s="6">
        <f t="shared" si="0"/>
        <v>100</v>
      </c>
    </row>
    <row r="57" spans="1:11" x14ac:dyDescent="0.25">
      <c r="A57" s="2" t="s">
        <v>238</v>
      </c>
      <c r="B57" s="2">
        <v>30</v>
      </c>
      <c r="C57" s="2">
        <v>30</v>
      </c>
      <c r="D57" s="2">
        <v>0</v>
      </c>
      <c r="E57" s="2">
        <v>0</v>
      </c>
      <c r="F57" s="2">
        <v>0</v>
      </c>
      <c r="G57" s="2">
        <v>10</v>
      </c>
      <c r="H57" s="2">
        <v>0</v>
      </c>
      <c r="I57" s="2">
        <v>30</v>
      </c>
      <c r="J57" s="2">
        <v>0</v>
      </c>
      <c r="K57" s="6">
        <f t="shared" si="0"/>
        <v>100</v>
      </c>
    </row>
    <row r="58" spans="1:11" x14ac:dyDescent="0.25">
      <c r="A58" s="2" t="s">
        <v>238</v>
      </c>
      <c r="B58" s="2">
        <v>40</v>
      </c>
      <c r="C58" s="2">
        <v>0</v>
      </c>
      <c r="D58" s="2">
        <v>0</v>
      </c>
      <c r="E58" s="2">
        <v>0</v>
      </c>
      <c r="F58" s="2">
        <v>50</v>
      </c>
      <c r="G58" s="2">
        <v>5</v>
      </c>
      <c r="H58" s="2">
        <v>5</v>
      </c>
      <c r="I58" s="2">
        <v>0</v>
      </c>
      <c r="J58" s="2">
        <v>0</v>
      </c>
      <c r="K58" s="6">
        <f t="shared" si="0"/>
        <v>100</v>
      </c>
    </row>
    <row r="59" spans="1:11" x14ac:dyDescent="0.25">
      <c r="A59" s="2" t="s">
        <v>238</v>
      </c>
      <c r="B59" s="2">
        <v>40</v>
      </c>
      <c r="C59" s="2">
        <v>0</v>
      </c>
      <c r="D59" s="2">
        <v>0</v>
      </c>
      <c r="E59" s="2">
        <v>0</v>
      </c>
      <c r="F59" s="2">
        <v>0</v>
      </c>
      <c r="G59" s="2">
        <v>0</v>
      </c>
      <c r="H59" s="2">
        <v>0</v>
      </c>
      <c r="I59" s="2">
        <v>60</v>
      </c>
      <c r="J59" s="2">
        <v>0</v>
      </c>
      <c r="K59" s="6">
        <f t="shared" si="0"/>
        <v>100</v>
      </c>
    </row>
    <row r="60" spans="1:11" x14ac:dyDescent="0.25">
      <c r="A60" s="2" t="s">
        <v>238</v>
      </c>
      <c r="B60" s="2">
        <v>60</v>
      </c>
      <c r="C60" s="2">
        <v>10</v>
      </c>
      <c r="D60" s="2">
        <v>5</v>
      </c>
      <c r="E60" s="2">
        <v>5</v>
      </c>
      <c r="F60" s="2">
        <v>5</v>
      </c>
      <c r="G60" s="2">
        <v>5</v>
      </c>
      <c r="H60" s="2">
        <v>5</v>
      </c>
      <c r="I60" s="2">
        <v>5</v>
      </c>
      <c r="J60" s="2">
        <v>0</v>
      </c>
      <c r="K60" s="6">
        <f t="shared" si="0"/>
        <v>100</v>
      </c>
    </row>
    <row r="61" spans="1:11" x14ac:dyDescent="0.25">
      <c r="A61" s="2" t="s">
        <v>238</v>
      </c>
      <c r="B61" s="2">
        <v>80</v>
      </c>
      <c r="C61" s="2">
        <v>10</v>
      </c>
      <c r="D61" s="2">
        <v>0</v>
      </c>
      <c r="E61" s="2">
        <v>0</v>
      </c>
      <c r="F61" s="2">
        <v>10</v>
      </c>
      <c r="G61" s="2">
        <v>0</v>
      </c>
      <c r="H61" s="2">
        <v>0</v>
      </c>
      <c r="I61" s="2">
        <v>0</v>
      </c>
      <c r="J61" s="2">
        <v>0</v>
      </c>
      <c r="K61" s="6">
        <f t="shared" si="0"/>
        <v>100</v>
      </c>
    </row>
    <row r="63" spans="1:11" x14ac:dyDescent="0.25">
      <c r="B63">
        <f t="shared" ref="B63:J63" si="1">SUM(B5:B62)</f>
        <v>551</v>
      </c>
      <c r="C63" s="19">
        <f t="shared" si="1"/>
        <v>470</v>
      </c>
      <c r="D63" s="19">
        <f t="shared" si="1"/>
        <v>111</v>
      </c>
      <c r="E63" s="19">
        <f t="shared" si="1"/>
        <v>227</v>
      </c>
      <c r="F63" s="19">
        <f t="shared" si="1"/>
        <v>2334</v>
      </c>
      <c r="G63" s="19">
        <f t="shared" si="1"/>
        <v>131</v>
      </c>
      <c r="H63" s="19">
        <f t="shared" si="1"/>
        <v>854</v>
      </c>
      <c r="I63" s="19">
        <f t="shared" si="1"/>
        <v>925</v>
      </c>
      <c r="J63" s="19">
        <f t="shared" si="1"/>
        <v>97</v>
      </c>
    </row>
  </sheetData>
  <sortState ref="M4:N12">
    <sortCondition descending="1" ref="N4:N12"/>
  </sortState>
  <pageMargins left="0.7" right="0.7" top="0.75" bottom="0.75" header="0.3" footer="0.3"/>
  <pageSetup paperSize="9" orientation="portrait" horizontalDpi="0"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1"/>
  <sheetViews>
    <sheetView workbookViewId="0"/>
  </sheetViews>
  <sheetFormatPr defaultRowHeight="15" x14ac:dyDescent="0.25"/>
  <cols>
    <col min="1" max="1" width="12.7109375" customWidth="1"/>
    <col min="10" max="10" width="14.5703125" bestFit="1" customWidth="1"/>
    <col min="11" max="11" width="9.140625" style="32"/>
    <col min="14" max="14" width="48.28515625" customWidth="1"/>
    <col min="15" max="15" width="7.7109375" customWidth="1"/>
  </cols>
  <sheetData>
    <row r="1" spans="1:19" x14ac:dyDescent="0.25">
      <c r="A1" s="62" t="s">
        <v>493</v>
      </c>
    </row>
    <row r="2" spans="1:19" x14ac:dyDescent="0.25">
      <c r="A2" s="15" t="s">
        <v>494</v>
      </c>
    </row>
    <row r="3" spans="1:19" x14ac:dyDescent="0.25">
      <c r="N3" s="19" t="s">
        <v>520</v>
      </c>
      <c r="Q3" s="20">
        <v>2013</v>
      </c>
    </row>
    <row r="5" spans="1:19" x14ac:dyDescent="0.25">
      <c r="B5" s="43" t="s">
        <v>512</v>
      </c>
      <c r="C5" s="43" t="s">
        <v>513</v>
      </c>
      <c r="D5" s="43" t="s">
        <v>514</v>
      </c>
      <c r="E5" s="43" t="s">
        <v>515</v>
      </c>
      <c r="F5" s="43" t="s">
        <v>516</v>
      </c>
      <c r="G5" s="43" t="s">
        <v>517</v>
      </c>
      <c r="H5" s="43" t="s">
        <v>518</v>
      </c>
      <c r="I5" s="43" t="s">
        <v>519</v>
      </c>
      <c r="J5" s="43" t="s">
        <v>351</v>
      </c>
      <c r="L5" s="19" t="s">
        <v>499</v>
      </c>
      <c r="N5" s="43" t="s">
        <v>512</v>
      </c>
      <c r="O5" s="34">
        <v>29.593220338983052</v>
      </c>
      <c r="Q5" s="34">
        <v>25.6</v>
      </c>
      <c r="S5" s="19"/>
    </row>
    <row r="6" spans="1:19" x14ac:dyDescent="0.25">
      <c r="A6" s="2" t="s">
        <v>236</v>
      </c>
      <c r="B6" s="2">
        <v>0</v>
      </c>
      <c r="C6" s="2">
        <v>0</v>
      </c>
      <c r="D6" s="2">
        <v>0</v>
      </c>
      <c r="E6" s="2">
        <v>90</v>
      </c>
      <c r="F6" s="2">
        <v>0</v>
      </c>
      <c r="G6" s="2">
        <v>0</v>
      </c>
      <c r="H6" s="2">
        <v>0</v>
      </c>
      <c r="I6" s="2">
        <v>0</v>
      </c>
      <c r="J6" s="2">
        <v>10</v>
      </c>
      <c r="K6" s="6">
        <f>SUM(B6:J6)</f>
        <v>100</v>
      </c>
      <c r="N6" s="43" t="s">
        <v>513</v>
      </c>
      <c r="O6" s="34">
        <v>16.728813559322035</v>
      </c>
      <c r="Q6" s="34">
        <v>16.899999999999999</v>
      </c>
      <c r="S6" s="19"/>
    </row>
    <row r="7" spans="1:19" x14ac:dyDescent="0.25">
      <c r="A7" s="2" t="s">
        <v>238</v>
      </c>
      <c r="B7" s="2">
        <v>0</v>
      </c>
      <c r="C7" s="2">
        <v>0</v>
      </c>
      <c r="D7" s="2">
        <v>0</v>
      </c>
      <c r="E7" s="2">
        <v>0</v>
      </c>
      <c r="F7" s="2">
        <v>0</v>
      </c>
      <c r="G7" s="2">
        <v>0</v>
      </c>
      <c r="H7" s="2">
        <v>0</v>
      </c>
      <c r="I7" s="2">
        <v>0</v>
      </c>
      <c r="J7" s="2">
        <v>100</v>
      </c>
      <c r="K7" s="6">
        <f t="shared" ref="K7:K64" si="0">SUM(B7:J7)</f>
        <v>100</v>
      </c>
      <c r="N7" s="43" t="s">
        <v>515</v>
      </c>
      <c r="O7" s="34">
        <v>12.813559322033898</v>
      </c>
      <c r="Q7" s="34">
        <v>6.8</v>
      </c>
      <c r="S7" s="19"/>
    </row>
    <row r="8" spans="1:19" x14ac:dyDescent="0.25">
      <c r="A8" s="2" t="s">
        <v>215</v>
      </c>
      <c r="B8" s="2">
        <v>0</v>
      </c>
      <c r="C8" s="2">
        <v>0</v>
      </c>
      <c r="D8" s="2">
        <v>0</v>
      </c>
      <c r="E8" s="2">
        <v>0</v>
      </c>
      <c r="F8" s="2">
        <v>0</v>
      </c>
      <c r="G8" s="2">
        <v>0</v>
      </c>
      <c r="H8" s="2">
        <v>0</v>
      </c>
      <c r="I8" s="2">
        <v>0</v>
      </c>
      <c r="J8" s="2">
        <v>100</v>
      </c>
      <c r="K8" s="6">
        <f t="shared" si="0"/>
        <v>100</v>
      </c>
      <c r="N8" s="43" t="s">
        <v>525</v>
      </c>
      <c r="O8" s="34">
        <v>11.983050847457626</v>
      </c>
      <c r="Q8">
        <v>8</v>
      </c>
      <c r="S8" s="19"/>
    </row>
    <row r="9" spans="1:19" x14ac:dyDescent="0.25">
      <c r="A9" s="2" t="s">
        <v>238</v>
      </c>
      <c r="B9" s="2">
        <v>0</v>
      </c>
      <c r="C9" s="2">
        <v>5</v>
      </c>
      <c r="D9" s="2">
        <v>0</v>
      </c>
      <c r="E9" s="2">
        <v>0</v>
      </c>
      <c r="F9" s="2">
        <v>95</v>
      </c>
      <c r="G9" s="2">
        <v>0</v>
      </c>
      <c r="H9" s="2">
        <v>0</v>
      </c>
      <c r="I9" s="2">
        <v>0</v>
      </c>
      <c r="J9" s="2">
        <v>0</v>
      </c>
      <c r="K9" s="6">
        <f t="shared" si="0"/>
        <v>100</v>
      </c>
      <c r="L9" s="2">
        <v>20</v>
      </c>
      <c r="N9" s="43" t="s">
        <v>521</v>
      </c>
      <c r="O9" s="34">
        <v>9.7457627118644066</v>
      </c>
      <c r="Q9" s="34">
        <v>18.100000000000001</v>
      </c>
      <c r="R9" s="34"/>
      <c r="S9" s="19"/>
    </row>
    <row r="10" spans="1:19" x14ac:dyDescent="0.25">
      <c r="A10" s="2" t="s">
        <v>238</v>
      </c>
      <c r="B10" s="2">
        <v>0</v>
      </c>
      <c r="C10" s="2">
        <v>5</v>
      </c>
      <c r="D10" s="2">
        <v>0</v>
      </c>
      <c r="E10" s="2">
        <v>0</v>
      </c>
      <c r="F10" s="2">
        <v>5</v>
      </c>
      <c r="G10" s="2">
        <v>5</v>
      </c>
      <c r="H10" s="2">
        <v>0</v>
      </c>
      <c r="I10" s="2">
        <v>0</v>
      </c>
      <c r="J10" s="2">
        <v>85</v>
      </c>
      <c r="K10" s="6">
        <f t="shared" si="0"/>
        <v>100</v>
      </c>
      <c r="N10" s="43" t="s">
        <v>524</v>
      </c>
      <c r="O10" s="34">
        <v>5.6610169491525424</v>
      </c>
      <c r="Q10" s="34">
        <v>13.9</v>
      </c>
      <c r="S10" s="19"/>
    </row>
    <row r="11" spans="1:19" x14ac:dyDescent="0.25">
      <c r="A11" s="2" t="s">
        <v>238</v>
      </c>
      <c r="B11" s="2">
        <v>0</v>
      </c>
      <c r="C11" s="2">
        <v>10</v>
      </c>
      <c r="D11" s="2">
        <v>10</v>
      </c>
      <c r="E11" s="2">
        <v>0</v>
      </c>
      <c r="F11" s="2">
        <v>30</v>
      </c>
      <c r="G11" s="2">
        <v>30</v>
      </c>
      <c r="H11" s="2">
        <v>10</v>
      </c>
      <c r="I11" s="2">
        <v>10</v>
      </c>
      <c r="J11" s="2">
        <v>0</v>
      </c>
      <c r="K11" s="6">
        <f t="shared" si="0"/>
        <v>100</v>
      </c>
      <c r="N11" s="43" t="s">
        <v>351</v>
      </c>
      <c r="O11" s="34">
        <v>5.5084745762711869</v>
      </c>
      <c r="Q11" s="34">
        <v>0.4</v>
      </c>
      <c r="S11" s="19"/>
    </row>
    <row r="12" spans="1:19" x14ac:dyDescent="0.25">
      <c r="A12" s="2" t="s">
        <v>236</v>
      </c>
      <c r="B12" s="2">
        <v>0</v>
      </c>
      <c r="C12" s="2">
        <v>60</v>
      </c>
      <c r="D12" s="2">
        <v>0</v>
      </c>
      <c r="E12" s="2">
        <v>30</v>
      </c>
      <c r="F12" s="2">
        <v>10</v>
      </c>
      <c r="G12" s="2">
        <v>0</v>
      </c>
      <c r="H12" s="2">
        <v>0</v>
      </c>
      <c r="I12" s="2">
        <v>0</v>
      </c>
      <c r="J12" s="2">
        <v>0</v>
      </c>
      <c r="K12" s="6">
        <f t="shared" si="0"/>
        <v>100</v>
      </c>
      <c r="N12" s="43" t="s">
        <v>523</v>
      </c>
      <c r="O12" s="34">
        <v>5.1864406779661021</v>
      </c>
      <c r="Q12" s="34">
        <v>5.3</v>
      </c>
      <c r="S12" s="19"/>
    </row>
    <row r="13" spans="1:19" x14ac:dyDescent="0.25">
      <c r="A13" s="2" t="s">
        <v>238</v>
      </c>
      <c r="B13" s="2">
        <v>0</v>
      </c>
      <c r="C13" s="2">
        <v>80</v>
      </c>
      <c r="D13" s="2">
        <v>0</v>
      </c>
      <c r="E13" s="2">
        <v>0</v>
      </c>
      <c r="F13" s="2">
        <v>20</v>
      </c>
      <c r="G13" s="2">
        <v>0</v>
      </c>
      <c r="H13" s="2">
        <v>0</v>
      </c>
      <c r="I13" s="3">
        <v>0</v>
      </c>
      <c r="J13" s="2">
        <v>0</v>
      </c>
      <c r="K13" s="6">
        <f t="shared" si="0"/>
        <v>100</v>
      </c>
      <c r="N13" s="43" t="s">
        <v>522</v>
      </c>
      <c r="O13" s="34">
        <v>2.7796610169491527</v>
      </c>
      <c r="Q13" s="34">
        <v>4.9000000000000004</v>
      </c>
      <c r="S13" s="19"/>
    </row>
    <row r="14" spans="1:19" x14ac:dyDescent="0.25">
      <c r="A14" s="2" t="s">
        <v>238</v>
      </c>
      <c r="B14" s="2">
        <v>5</v>
      </c>
      <c r="C14" s="2">
        <v>5</v>
      </c>
      <c r="D14" s="2">
        <v>0</v>
      </c>
      <c r="E14" s="2">
        <v>60</v>
      </c>
      <c r="F14" s="2">
        <v>10</v>
      </c>
      <c r="G14" s="2">
        <v>10</v>
      </c>
      <c r="H14" s="2">
        <v>5</v>
      </c>
      <c r="I14" s="2">
        <v>5</v>
      </c>
      <c r="J14" s="2">
        <v>0</v>
      </c>
      <c r="K14" s="6">
        <f t="shared" si="0"/>
        <v>100</v>
      </c>
    </row>
    <row r="15" spans="1:19" x14ac:dyDescent="0.25">
      <c r="A15" s="2" t="s">
        <v>238</v>
      </c>
      <c r="B15" s="2">
        <v>5</v>
      </c>
      <c r="C15" s="2">
        <v>20</v>
      </c>
      <c r="D15" s="2">
        <v>10</v>
      </c>
      <c r="E15" s="2">
        <v>5</v>
      </c>
      <c r="F15" s="2">
        <v>5</v>
      </c>
      <c r="G15" s="2">
        <v>10</v>
      </c>
      <c r="H15" s="2">
        <v>5</v>
      </c>
      <c r="I15" s="2">
        <v>40</v>
      </c>
      <c r="J15" s="2">
        <v>0</v>
      </c>
      <c r="K15" s="6">
        <f t="shared" si="0"/>
        <v>100</v>
      </c>
    </row>
    <row r="16" spans="1:19" x14ac:dyDescent="0.25">
      <c r="A16" s="2" t="s">
        <v>238</v>
      </c>
      <c r="B16" s="2">
        <v>10</v>
      </c>
      <c r="C16" s="2">
        <v>5</v>
      </c>
      <c r="D16" s="2">
        <v>0</v>
      </c>
      <c r="E16" s="2">
        <v>50</v>
      </c>
      <c r="F16" s="2">
        <v>30</v>
      </c>
      <c r="G16" s="2">
        <v>5</v>
      </c>
      <c r="H16" s="2">
        <v>0</v>
      </c>
      <c r="I16" s="2">
        <v>0</v>
      </c>
      <c r="J16" s="2">
        <v>0</v>
      </c>
      <c r="K16" s="6">
        <f t="shared" si="0"/>
        <v>100</v>
      </c>
    </row>
    <row r="17" spans="1:11" x14ac:dyDescent="0.25">
      <c r="A17" s="2" t="s">
        <v>238</v>
      </c>
      <c r="B17" s="2">
        <v>10</v>
      </c>
      <c r="C17" s="2">
        <v>5</v>
      </c>
      <c r="D17" s="2">
        <v>5</v>
      </c>
      <c r="E17" s="2">
        <v>0</v>
      </c>
      <c r="F17" s="2">
        <v>20</v>
      </c>
      <c r="G17" s="2">
        <v>10</v>
      </c>
      <c r="H17" s="2">
        <v>30</v>
      </c>
      <c r="I17" s="2">
        <v>20</v>
      </c>
      <c r="J17" s="2">
        <v>0</v>
      </c>
      <c r="K17" s="6">
        <f t="shared" si="0"/>
        <v>100</v>
      </c>
    </row>
    <row r="18" spans="1:11" x14ac:dyDescent="0.25">
      <c r="A18" s="2" t="s">
        <v>238</v>
      </c>
      <c r="B18" s="2">
        <v>10</v>
      </c>
      <c r="C18" s="2">
        <v>10</v>
      </c>
      <c r="D18" s="2">
        <v>10</v>
      </c>
      <c r="E18" s="2">
        <v>10</v>
      </c>
      <c r="F18" s="2">
        <v>10</v>
      </c>
      <c r="G18" s="2">
        <v>5</v>
      </c>
      <c r="H18" s="2">
        <v>5</v>
      </c>
      <c r="I18" s="2">
        <v>20</v>
      </c>
      <c r="J18" s="2">
        <v>20</v>
      </c>
      <c r="K18" s="6">
        <f t="shared" si="0"/>
        <v>100</v>
      </c>
    </row>
    <row r="19" spans="1:11" x14ac:dyDescent="0.25">
      <c r="A19" s="2" t="s">
        <v>238</v>
      </c>
      <c r="B19" s="2">
        <v>10</v>
      </c>
      <c r="C19" s="2">
        <v>10</v>
      </c>
      <c r="D19" s="2">
        <v>5</v>
      </c>
      <c r="E19" s="2">
        <v>5</v>
      </c>
      <c r="F19" s="2">
        <v>10</v>
      </c>
      <c r="G19" s="2">
        <v>0</v>
      </c>
      <c r="H19" s="2">
        <v>0</v>
      </c>
      <c r="I19" s="2">
        <v>60</v>
      </c>
      <c r="J19" s="2">
        <v>0</v>
      </c>
      <c r="K19" s="6">
        <f t="shared" si="0"/>
        <v>100</v>
      </c>
    </row>
    <row r="20" spans="1:11" x14ac:dyDescent="0.25">
      <c r="A20" s="2" t="s">
        <v>238</v>
      </c>
      <c r="B20" s="2">
        <v>10</v>
      </c>
      <c r="C20" s="2">
        <v>10</v>
      </c>
      <c r="D20" s="2">
        <v>0</v>
      </c>
      <c r="E20" s="2">
        <v>60</v>
      </c>
      <c r="F20" s="2">
        <v>0</v>
      </c>
      <c r="G20" s="2">
        <v>0</v>
      </c>
      <c r="H20" s="2">
        <v>0</v>
      </c>
      <c r="I20" s="2">
        <v>20</v>
      </c>
      <c r="J20" s="2">
        <v>0</v>
      </c>
      <c r="K20" s="6">
        <f t="shared" si="0"/>
        <v>100</v>
      </c>
    </row>
    <row r="21" spans="1:11" x14ac:dyDescent="0.25">
      <c r="A21" s="2" t="s">
        <v>236</v>
      </c>
      <c r="B21" s="2">
        <v>10</v>
      </c>
      <c r="C21" s="2">
        <v>20</v>
      </c>
      <c r="D21" s="2">
        <v>5</v>
      </c>
      <c r="E21" s="2">
        <v>40</v>
      </c>
      <c r="F21" s="2">
        <v>10</v>
      </c>
      <c r="G21" s="2">
        <v>10</v>
      </c>
      <c r="H21" s="2">
        <v>0</v>
      </c>
      <c r="I21" s="2">
        <v>5</v>
      </c>
      <c r="J21" s="2">
        <v>0</v>
      </c>
      <c r="K21" s="6">
        <f t="shared" si="0"/>
        <v>100</v>
      </c>
    </row>
    <row r="22" spans="1:11" x14ac:dyDescent="0.25">
      <c r="A22" s="2" t="s">
        <v>236</v>
      </c>
      <c r="B22" s="3">
        <v>10</v>
      </c>
      <c r="C22" s="3">
        <v>40</v>
      </c>
      <c r="D22" s="3">
        <v>0</v>
      </c>
      <c r="E22" s="3">
        <v>0</v>
      </c>
      <c r="F22" s="3">
        <v>40</v>
      </c>
      <c r="G22" s="3">
        <v>10</v>
      </c>
      <c r="H22" s="3">
        <v>0</v>
      </c>
      <c r="I22" s="3">
        <v>0</v>
      </c>
      <c r="J22" s="3">
        <v>0</v>
      </c>
      <c r="K22" s="6">
        <f t="shared" si="0"/>
        <v>100</v>
      </c>
    </row>
    <row r="23" spans="1:11" x14ac:dyDescent="0.25">
      <c r="A23" s="2" t="s">
        <v>236</v>
      </c>
      <c r="B23" s="2">
        <v>10</v>
      </c>
      <c r="C23" s="2">
        <v>40</v>
      </c>
      <c r="D23" s="2">
        <v>5</v>
      </c>
      <c r="E23" s="2">
        <v>5</v>
      </c>
      <c r="F23" s="2">
        <v>10</v>
      </c>
      <c r="G23" s="2">
        <v>20</v>
      </c>
      <c r="H23" s="2">
        <v>5</v>
      </c>
      <c r="I23" s="2">
        <v>5</v>
      </c>
      <c r="J23" s="2">
        <v>0</v>
      </c>
      <c r="K23" s="6">
        <f t="shared" si="0"/>
        <v>100</v>
      </c>
    </row>
    <row r="24" spans="1:11" x14ac:dyDescent="0.25">
      <c r="A24" s="2" t="s">
        <v>236</v>
      </c>
      <c r="B24" s="2">
        <v>10</v>
      </c>
      <c r="C24" s="2">
        <v>50</v>
      </c>
      <c r="D24" s="2">
        <v>0</v>
      </c>
      <c r="E24" s="2">
        <v>0</v>
      </c>
      <c r="F24" s="2">
        <v>40</v>
      </c>
      <c r="G24" s="2">
        <v>0</v>
      </c>
      <c r="H24" s="2">
        <v>0</v>
      </c>
      <c r="I24" s="2">
        <v>0</v>
      </c>
      <c r="J24" s="2">
        <v>0</v>
      </c>
      <c r="K24" s="6">
        <f t="shared" si="0"/>
        <v>100</v>
      </c>
    </row>
    <row r="25" spans="1:11" x14ac:dyDescent="0.25">
      <c r="A25" s="2" t="s">
        <v>238</v>
      </c>
      <c r="B25" s="2">
        <v>15</v>
      </c>
      <c r="C25" s="2">
        <v>0</v>
      </c>
      <c r="D25" s="2">
        <v>85</v>
      </c>
      <c r="E25" s="2">
        <v>0</v>
      </c>
      <c r="F25" s="2">
        <v>0</v>
      </c>
      <c r="G25" s="2">
        <v>0</v>
      </c>
      <c r="H25" s="2">
        <v>0</v>
      </c>
      <c r="I25" s="2">
        <v>0</v>
      </c>
      <c r="J25" s="2">
        <v>0</v>
      </c>
      <c r="K25" s="6">
        <f t="shared" si="0"/>
        <v>100</v>
      </c>
    </row>
    <row r="26" spans="1:11" x14ac:dyDescent="0.25">
      <c r="A26" s="2" t="s">
        <v>238</v>
      </c>
      <c r="B26" s="2">
        <v>15</v>
      </c>
      <c r="C26" s="2">
        <v>30</v>
      </c>
      <c r="D26" s="2">
        <v>0</v>
      </c>
      <c r="E26" s="2">
        <v>30</v>
      </c>
      <c r="F26" s="2">
        <v>15</v>
      </c>
      <c r="G26" s="2">
        <v>0</v>
      </c>
      <c r="H26" s="2">
        <v>0</v>
      </c>
      <c r="I26" s="2">
        <v>10</v>
      </c>
      <c r="J26" s="2">
        <v>0</v>
      </c>
      <c r="K26" s="6">
        <f t="shared" si="0"/>
        <v>100</v>
      </c>
    </row>
    <row r="27" spans="1:11" x14ac:dyDescent="0.25">
      <c r="A27" s="2" t="s">
        <v>215</v>
      </c>
      <c r="B27" s="2">
        <v>16</v>
      </c>
      <c r="C27" s="2">
        <v>40</v>
      </c>
      <c r="D27" s="2">
        <v>10</v>
      </c>
      <c r="E27" s="2">
        <v>5</v>
      </c>
      <c r="F27" s="2">
        <v>5</v>
      </c>
      <c r="G27" s="2">
        <v>10</v>
      </c>
      <c r="H27" s="2">
        <v>4</v>
      </c>
      <c r="I27" s="2">
        <v>10</v>
      </c>
      <c r="J27" s="2">
        <v>0</v>
      </c>
      <c r="K27" s="6">
        <f t="shared" si="0"/>
        <v>100</v>
      </c>
    </row>
    <row r="28" spans="1:11" x14ac:dyDescent="0.25">
      <c r="A28" s="2" t="s">
        <v>236</v>
      </c>
      <c r="B28" s="2">
        <v>20</v>
      </c>
      <c r="C28" s="2">
        <v>0</v>
      </c>
      <c r="D28" s="2">
        <v>0</v>
      </c>
      <c r="E28" s="2">
        <v>50</v>
      </c>
      <c r="F28" s="2">
        <v>30</v>
      </c>
      <c r="G28" s="2">
        <v>0</v>
      </c>
      <c r="H28" s="2">
        <v>0</v>
      </c>
      <c r="I28" s="2">
        <v>0</v>
      </c>
      <c r="J28" s="2">
        <v>0</v>
      </c>
      <c r="K28" s="6">
        <f t="shared" si="0"/>
        <v>100</v>
      </c>
    </row>
    <row r="29" spans="1:11" x14ac:dyDescent="0.25">
      <c r="A29" s="2" t="s">
        <v>238</v>
      </c>
      <c r="B29" s="2">
        <v>20</v>
      </c>
      <c r="C29" s="2">
        <v>10</v>
      </c>
      <c r="D29" s="2">
        <v>9</v>
      </c>
      <c r="E29" s="2">
        <v>40</v>
      </c>
      <c r="F29" s="2">
        <v>20</v>
      </c>
      <c r="G29" s="2">
        <v>1</v>
      </c>
      <c r="H29" s="2">
        <v>0</v>
      </c>
      <c r="I29" s="2">
        <v>0</v>
      </c>
      <c r="J29" s="2">
        <v>0</v>
      </c>
      <c r="K29" s="6">
        <f t="shared" si="0"/>
        <v>100</v>
      </c>
    </row>
    <row r="30" spans="1:11" x14ac:dyDescent="0.25">
      <c r="A30" s="2" t="s">
        <v>238</v>
      </c>
      <c r="B30" s="2">
        <v>20</v>
      </c>
      <c r="C30" s="2">
        <v>10</v>
      </c>
      <c r="D30" s="2">
        <v>5</v>
      </c>
      <c r="E30" s="2">
        <v>15</v>
      </c>
      <c r="F30" s="2">
        <v>10</v>
      </c>
      <c r="G30" s="2">
        <v>10</v>
      </c>
      <c r="H30" s="2">
        <v>10</v>
      </c>
      <c r="I30" s="2">
        <v>20</v>
      </c>
      <c r="J30" s="2">
        <v>0</v>
      </c>
      <c r="K30" s="6">
        <f t="shared" si="0"/>
        <v>100</v>
      </c>
    </row>
    <row r="31" spans="1:11" x14ac:dyDescent="0.25">
      <c r="A31" s="3" t="s">
        <v>238</v>
      </c>
      <c r="B31" s="3">
        <v>20</v>
      </c>
      <c r="C31" s="3">
        <v>10</v>
      </c>
      <c r="D31" s="3">
        <v>15</v>
      </c>
      <c r="E31" s="3">
        <v>10</v>
      </c>
      <c r="F31" s="3">
        <v>10</v>
      </c>
      <c r="G31" s="3">
        <v>5</v>
      </c>
      <c r="H31" s="3">
        <v>5</v>
      </c>
      <c r="I31" s="3">
        <v>25</v>
      </c>
      <c r="J31" s="3">
        <v>0</v>
      </c>
      <c r="K31" s="6">
        <f t="shared" si="0"/>
        <v>100</v>
      </c>
    </row>
    <row r="32" spans="1:11" x14ac:dyDescent="0.25">
      <c r="A32" s="2" t="s">
        <v>238</v>
      </c>
      <c r="B32" s="2">
        <v>20</v>
      </c>
      <c r="C32" s="2">
        <v>10</v>
      </c>
      <c r="D32" s="2">
        <v>10</v>
      </c>
      <c r="E32" s="2">
        <v>10</v>
      </c>
      <c r="F32" s="2">
        <v>10</v>
      </c>
      <c r="G32" s="2">
        <v>10</v>
      </c>
      <c r="H32" s="2">
        <v>10</v>
      </c>
      <c r="I32" s="2">
        <v>10</v>
      </c>
      <c r="J32" s="2">
        <v>10</v>
      </c>
      <c r="K32" s="6">
        <f t="shared" si="0"/>
        <v>100</v>
      </c>
    </row>
    <row r="33" spans="1:11" x14ac:dyDescent="0.25">
      <c r="A33" s="2" t="s">
        <v>236</v>
      </c>
      <c r="B33" s="2">
        <v>20</v>
      </c>
      <c r="C33" s="2">
        <v>20</v>
      </c>
      <c r="D33" s="2">
        <v>0</v>
      </c>
      <c r="E33" s="2">
        <v>10</v>
      </c>
      <c r="F33" s="2">
        <v>20</v>
      </c>
      <c r="G33" s="2">
        <v>10</v>
      </c>
      <c r="H33" s="2">
        <v>0</v>
      </c>
      <c r="I33" s="2">
        <v>20</v>
      </c>
      <c r="J33" s="2">
        <v>0</v>
      </c>
      <c r="K33" s="6">
        <f t="shared" si="0"/>
        <v>100</v>
      </c>
    </row>
    <row r="34" spans="1:11" x14ac:dyDescent="0.25">
      <c r="A34" s="2" t="s">
        <v>236</v>
      </c>
      <c r="B34" s="2">
        <v>20</v>
      </c>
      <c r="C34" s="2">
        <v>20</v>
      </c>
      <c r="D34" s="2">
        <v>0</v>
      </c>
      <c r="E34" s="2">
        <v>60</v>
      </c>
      <c r="F34" s="2">
        <v>0</v>
      </c>
      <c r="G34" s="2">
        <v>0</v>
      </c>
      <c r="H34" s="2">
        <v>0</v>
      </c>
      <c r="I34" s="2">
        <v>0</v>
      </c>
      <c r="J34" s="2">
        <v>0</v>
      </c>
      <c r="K34" s="6">
        <f t="shared" si="0"/>
        <v>100</v>
      </c>
    </row>
    <row r="35" spans="1:11" x14ac:dyDescent="0.25">
      <c r="A35" s="2" t="s">
        <v>237</v>
      </c>
      <c r="B35" s="2">
        <v>20</v>
      </c>
      <c r="C35" s="2">
        <v>20</v>
      </c>
      <c r="D35" s="2">
        <v>15</v>
      </c>
      <c r="E35" s="2">
        <v>5</v>
      </c>
      <c r="F35" s="2">
        <v>10</v>
      </c>
      <c r="G35" s="2">
        <v>15</v>
      </c>
      <c r="H35" s="2">
        <v>5</v>
      </c>
      <c r="I35" s="2">
        <v>10</v>
      </c>
      <c r="J35" s="2">
        <v>0</v>
      </c>
      <c r="K35" s="6">
        <f t="shared" si="0"/>
        <v>100</v>
      </c>
    </row>
    <row r="36" spans="1:11" x14ac:dyDescent="0.25">
      <c r="A36" s="2" t="s">
        <v>215</v>
      </c>
      <c r="B36" s="2">
        <v>20</v>
      </c>
      <c r="C36" s="2">
        <v>20</v>
      </c>
      <c r="D36" s="2">
        <v>0</v>
      </c>
      <c r="E36" s="2">
        <v>2</v>
      </c>
      <c r="F36" s="2">
        <v>10</v>
      </c>
      <c r="G36" s="2">
        <v>3</v>
      </c>
      <c r="H36" s="2">
        <v>5</v>
      </c>
      <c r="I36" s="2">
        <v>40</v>
      </c>
      <c r="J36" s="2">
        <v>0</v>
      </c>
      <c r="K36" s="6">
        <f t="shared" si="0"/>
        <v>100</v>
      </c>
    </row>
    <row r="37" spans="1:11" x14ac:dyDescent="0.25">
      <c r="A37" s="2" t="s">
        <v>236</v>
      </c>
      <c r="B37" s="2">
        <v>25</v>
      </c>
      <c r="C37" s="2">
        <v>15</v>
      </c>
      <c r="D37" s="2">
        <v>15</v>
      </c>
      <c r="E37" s="2">
        <v>5</v>
      </c>
      <c r="F37" s="2">
        <v>5</v>
      </c>
      <c r="G37" s="2">
        <v>15</v>
      </c>
      <c r="H37" s="2">
        <v>10</v>
      </c>
      <c r="I37" s="2">
        <v>10</v>
      </c>
      <c r="J37" s="2">
        <v>0</v>
      </c>
      <c r="K37" s="6">
        <f t="shared" si="0"/>
        <v>100</v>
      </c>
    </row>
    <row r="38" spans="1:11" x14ac:dyDescent="0.25">
      <c r="A38" s="2" t="s">
        <v>236</v>
      </c>
      <c r="B38" s="2">
        <v>25</v>
      </c>
      <c r="C38" s="2">
        <v>25</v>
      </c>
      <c r="D38" s="2">
        <v>10</v>
      </c>
      <c r="E38" s="2">
        <v>5</v>
      </c>
      <c r="F38" s="2">
        <v>5</v>
      </c>
      <c r="G38" s="2">
        <v>10</v>
      </c>
      <c r="H38" s="2">
        <v>10</v>
      </c>
      <c r="I38" s="2">
        <v>10</v>
      </c>
      <c r="J38" s="2">
        <v>0</v>
      </c>
      <c r="K38" s="6">
        <f t="shared" si="0"/>
        <v>100</v>
      </c>
    </row>
    <row r="39" spans="1:11" x14ac:dyDescent="0.25">
      <c r="A39" s="2" t="s">
        <v>237</v>
      </c>
      <c r="B39" s="2">
        <v>25</v>
      </c>
      <c r="C39" s="2">
        <v>25</v>
      </c>
      <c r="D39" s="2">
        <v>0</v>
      </c>
      <c r="E39" s="2">
        <v>10</v>
      </c>
      <c r="F39" s="2">
        <v>5</v>
      </c>
      <c r="G39" s="2">
        <v>25</v>
      </c>
      <c r="H39" s="2">
        <v>5</v>
      </c>
      <c r="I39" s="2">
        <v>5</v>
      </c>
      <c r="J39" s="2">
        <v>0</v>
      </c>
      <c r="K39" s="6">
        <f t="shared" si="0"/>
        <v>100</v>
      </c>
    </row>
    <row r="40" spans="1:11" x14ac:dyDescent="0.25">
      <c r="A40" s="2" t="s">
        <v>238</v>
      </c>
      <c r="B40" s="2">
        <v>25</v>
      </c>
      <c r="C40" s="2">
        <v>75</v>
      </c>
      <c r="D40" s="2">
        <v>0</v>
      </c>
      <c r="E40" s="2">
        <v>0</v>
      </c>
      <c r="F40" s="2">
        <v>0</v>
      </c>
      <c r="G40" s="2">
        <v>0</v>
      </c>
      <c r="H40" s="2">
        <v>0</v>
      </c>
      <c r="I40" s="2">
        <v>0</v>
      </c>
      <c r="J40" s="2">
        <v>0</v>
      </c>
      <c r="K40" s="6">
        <f t="shared" si="0"/>
        <v>100</v>
      </c>
    </row>
    <row r="41" spans="1:11" x14ac:dyDescent="0.25">
      <c r="A41" s="2" t="s">
        <v>236</v>
      </c>
      <c r="B41" s="3">
        <v>40</v>
      </c>
      <c r="C41" s="3">
        <v>5</v>
      </c>
      <c r="D41" s="3">
        <v>5</v>
      </c>
      <c r="E41" s="3">
        <v>30</v>
      </c>
      <c r="F41" s="3">
        <v>5</v>
      </c>
      <c r="G41" s="3">
        <v>5</v>
      </c>
      <c r="H41" s="3">
        <v>5</v>
      </c>
      <c r="I41" s="3">
        <v>5</v>
      </c>
      <c r="J41" s="2">
        <v>0</v>
      </c>
      <c r="K41" s="6">
        <f t="shared" si="0"/>
        <v>100</v>
      </c>
    </row>
    <row r="42" spans="1:11" x14ac:dyDescent="0.25">
      <c r="A42" s="2" t="s">
        <v>236</v>
      </c>
      <c r="B42" s="2">
        <v>40</v>
      </c>
      <c r="C42" s="2">
        <v>10</v>
      </c>
      <c r="D42" s="2">
        <v>20</v>
      </c>
      <c r="E42" s="2">
        <v>0</v>
      </c>
      <c r="F42" s="2">
        <v>10</v>
      </c>
      <c r="G42" s="2">
        <v>5</v>
      </c>
      <c r="H42" s="2">
        <v>5</v>
      </c>
      <c r="I42" s="2">
        <v>10</v>
      </c>
      <c r="J42" s="2">
        <v>0</v>
      </c>
      <c r="K42" s="6">
        <f t="shared" si="0"/>
        <v>100</v>
      </c>
    </row>
    <row r="43" spans="1:11" x14ac:dyDescent="0.25">
      <c r="A43" s="2" t="s">
        <v>238</v>
      </c>
      <c r="B43" s="2">
        <v>40</v>
      </c>
      <c r="C43" s="2">
        <v>10</v>
      </c>
      <c r="D43" s="2">
        <v>0</v>
      </c>
      <c r="E43" s="2">
        <v>20</v>
      </c>
      <c r="F43" s="2">
        <v>10</v>
      </c>
      <c r="G43" s="2">
        <v>0</v>
      </c>
      <c r="H43" s="2">
        <v>0</v>
      </c>
      <c r="I43" s="2">
        <v>20</v>
      </c>
      <c r="J43" s="2">
        <v>0</v>
      </c>
      <c r="K43" s="6">
        <f t="shared" si="0"/>
        <v>100</v>
      </c>
    </row>
    <row r="44" spans="1:11" x14ac:dyDescent="0.25">
      <c r="A44" s="2" t="s">
        <v>236</v>
      </c>
      <c r="B44" s="3">
        <v>40</v>
      </c>
      <c r="C44" s="3">
        <v>20</v>
      </c>
      <c r="D44" s="2">
        <v>0</v>
      </c>
      <c r="E44" s="2">
        <v>0</v>
      </c>
      <c r="F44" s="3">
        <v>20</v>
      </c>
      <c r="G44" s="3">
        <v>10</v>
      </c>
      <c r="H44" s="3">
        <v>0</v>
      </c>
      <c r="I44" s="3">
        <v>10</v>
      </c>
      <c r="J44" s="2">
        <v>0</v>
      </c>
      <c r="K44" s="6">
        <f t="shared" si="0"/>
        <v>100</v>
      </c>
    </row>
    <row r="45" spans="1:11" x14ac:dyDescent="0.25">
      <c r="A45" s="2" t="s">
        <v>238</v>
      </c>
      <c r="B45" s="2">
        <v>40</v>
      </c>
      <c r="C45" s="2">
        <v>20</v>
      </c>
      <c r="D45" s="2">
        <v>2</v>
      </c>
      <c r="E45" s="2">
        <v>20</v>
      </c>
      <c r="F45" s="2">
        <v>3</v>
      </c>
      <c r="G45" s="2">
        <v>4</v>
      </c>
      <c r="H45" s="2">
        <v>1</v>
      </c>
      <c r="I45" s="2">
        <v>10</v>
      </c>
      <c r="J45" s="2">
        <v>0</v>
      </c>
      <c r="K45" s="6">
        <f t="shared" si="0"/>
        <v>100</v>
      </c>
    </row>
    <row r="46" spans="1:11" x14ac:dyDescent="0.25">
      <c r="A46" s="2" t="s">
        <v>238</v>
      </c>
      <c r="B46" s="2">
        <v>40</v>
      </c>
      <c r="C46" s="2">
        <v>20</v>
      </c>
      <c r="D46" s="2">
        <v>5</v>
      </c>
      <c r="E46" s="2">
        <v>5</v>
      </c>
      <c r="F46" s="2">
        <v>10</v>
      </c>
      <c r="G46" s="2">
        <v>10</v>
      </c>
      <c r="H46" s="2">
        <v>5</v>
      </c>
      <c r="I46" s="2">
        <v>5</v>
      </c>
      <c r="J46" s="2">
        <v>0</v>
      </c>
      <c r="K46" s="6">
        <f t="shared" si="0"/>
        <v>100</v>
      </c>
    </row>
    <row r="47" spans="1:11" x14ac:dyDescent="0.25">
      <c r="A47" s="2" t="s">
        <v>236</v>
      </c>
      <c r="B47" s="2">
        <v>40</v>
      </c>
      <c r="C47" s="2">
        <v>25</v>
      </c>
      <c r="D47" s="2">
        <v>2</v>
      </c>
      <c r="E47" s="2">
        <v>5</v>
      </c>
      <c r="F47" s="2">
        <v>20</v>
      </c>
      <c r="G47" s="2">
        <v>3</v>
      </c>
      <c r="H47" s="2">
        <v>0</v>
      </c>
      <c r="I47" s="2">
        <v>5</v>
      </c>
      <c r="J47" s="2">
        <v>0</v>
      </c>
      <c r="K47" s="6">
        <f t="shared" si="0"/>
        <v>100</v>
      </c>
    </row>
    <row r="48" spans="1:11" x14ac:dyDescent="0.25">
      <c r="A48" s="2" t="s">
        <v>237</v>
      </c>
      <c r="B48" s="2">
        <v>45</v>
      </c>
      <c r="C48" s="2">
        <v>10</v>
      </c>
      <c r="D48" s="2">
        <v>0</v>
      </c>
      <c r="E48" s="2">
        <v>5</v>
      </c>
      <c r="F48" s="2">
        <v>5</v>
      </c>
      <c r="G48" s="2">
        <v>20</v>
      </c>
      <c r="H48" s="2">
        <v>5</v>
      </c>
      <c r="I48" s="2">
        <v>10</v>
      </c>
      <c r="J48" s="2">
        <v>0</v>
      </c>
      <c r="K48" s="6">
        <f t="shared" si="0"/>
        <v>100</v>
      </c>
    </row>
    <row r="49" spans="1:11" x14ac:dyDescent="0.25">
      <c r="A49" s="2" t="s">
        <v>238</v>
      </c>
      <c r="B49" s="2">
        <v>50</v>
      </c>
      <c r="C49" s="2">
        <v>0</v>
      </c>
      <c r="D49" s="2">
        <v>0</v>
      </c>
      <c r="E49" s="2">
        <v>0</v>
      </c>
      <c r="F49" s="2">
        <v>50</v>
      </c>
      <c r="G49" s="2">
        <v>0</v>
      </c>
      <c r="H49" s="2">
        <v>0</v>
      </c>
      <c r="I49" s="2">
        <v>0</v>
      </c>
      <c r="J49" s="2">
        <v>0</v>
      </c>
      <c r="K49" s="6">
        <f t="shared" si="0"/>
        <v>100</v>
      </c>
    </row>
    <row r="50" spans="1:11" x14ac:dyDescent="0.25">
      <c r="A50" s="2" t="s">
        <v>238</v>
      </c>
      <c r="B50" s="2">
        <v>50</v>
      </c>
      <c r="C50" s="2">
        <v>0</v>
      </c>
      <c r="D50" s="2">
        <v>0</v>
      </c>
      <c r="E50" s="2">
        <v>0</v>
      </c>
      <c r="F50" s="2">
        <v>0</v>
      </c>
      <c r="G50" s="2">
        <v>0</v>
      </c>
      <c r="H50" s="2">
        <v>0</v>
      </c>
      <c r="I50" s="2">
        <v>50</v>
      </c>
      <c r="J50" s="2">
        <v>0</v>
      </c>
      <c r="K50" s="6">
        <f t="shared" si="0"/>
        <v>100</v>
      </c>
    </row>
    <row r="51" spans="1:11" x14ac:dyDescent="0.25">
      <c r="A51" s="2" t="s">
        <v>238</v>
      </c>
      <c r="B51" s="2">
        <v>50</v>
      </c>
      <c r="C51" s="2">
        <v>2</v>
      </c>
      <c r="D51" s="2">
        <v>0</v>
      </c>
      <c r="E51" s="2">
        <v>1</v>
      </c>
      <c r="F51" s="2">
        <v>20</v>
      </c>
      <c r="G51" s="2">
        <v>5</v>
      </c>
      <c r="H51" s="2">
        <v>2</v>
      </c>
      <c r="I51" s="2">
        <v>20</v>
      </c>
      <c r="J51" s="2">
        <v>0</v>
      </c>
      <c r="K51" s="6">
        <f t="shared" si="0"/>
        <v>100</v>
      </c>
    </row>
    <row r="52" spans="1:11" x14ac:dyDescent="0.25">
      <c r="A52" s="2" t="s">
        <v>236</v>
      </c>
      <c r="B52" s="2">
        <v>50</v>
      </c>
      <c r="C52" s="2">
        <v>5</v>
      </c>
      <c r="D52" s="2">
        <v>3</v>
      </c>
      <c r="E52" s="2">
        <v>8</v>
      </c>
      <c r="F52" s="2">
        <v>4</v>
      </c>
      <c r="G52" s="2">
        <v>10</v>
      </c>
      <c r="H52" s="2">
        <v>10</v>
      </c>
      <c r="I52" s="2">
        <v>10</v>
      </c>
      <c r="J52" s="2">
        <v>0</v>
      </c>
      <c r="K52" s="6">
        <f t="shared" si="0"/>
        <v>100</v>
      </c>
    </row>
    <row r="53" spans="1:11" x14ac:dyDescent="0.25">
      <c r="A53" s="2" t="s">
        <v>238</v>
      </c>
      <c r="B53" s="2">
        <v>50</v>
      </c>
      <c r="C53" s="2">
        <v>10</v>
      </c>
      <c r="D53" s="2">
        <v>5</v>
      </c>
      <c r="E53" s="2">
        <v>10</v>
      </c>
      <c r="F53" s="2">
        <v>20</v>
      </c>
      <c r="G53" s="2">
        <v>5</v>
      </c>
      <c r="H53" s="2">
        <v>0</v>
      </c>
      <c r="I53" s="2">
        <v>0</v>
      </c>
      <c r="J53" s="2">
        <v>0</v>
      </c>
      <c r="K53" s="6">
        <f t="shared" si="0"/>
        <v>100</v>
      </c>
    </row>
    <row r="54" spans="1:11" x14ac:dyDescent="0.25">
      <c r="A54" s="2" t="s">
        <v>238</v>
      </c>
      <c r="B54" s="2">
        <v>50</v>
      </c>
      <c r="C54" s="2">
        <v>50</v>
      </c>
      <c r="D54" s="2">
        <v>0</v>
      </c>
      <c r="E54" s="2">
        <v>0</v>
      </c>
      <c r="F54" s="2">
        <v>0</v>
      </c>
      <c r="G54" s="2">
        <v>0</v>
      </c>
      <c r="H54" s="2">
        <v>0</v>
      </c>
      <c r="I54" s="2">
        <v>0</v>
      </c>
      <c r="J54" s="2">
        <v>0</v>
      </c>
      <c r="K54" s="6">
        <f t="shared" si="0"/>
        <v>100</v>
      </c>
    </row>
    <row r="55" spans="1:11" x14ac:dyDescent="0.25">
      <c r="A55" s="2" t="s">
        <v>215</v>
      </c>
      <c r="B55" s="2">
        <v>55</v>
      </c>
      <c r="C55" s="2">
        <v>20</v>
      </c>
      <c r="D55" s="2">
        <v>5</v>
      </c>
      <c r="E55" s="2">
        <v>5</v>
      </c>
      <c r="F55" s="2">
        <v>5</v>
      </c>
      <c r="G55" s="2">
        <v>3</v>
      </c>
      <c r="H55" s="2">
        <v>2</v>
      </c>
      <c r="I55" s="2">
        <v>5</v>
      </c>
      <c r="J55" s="2">
        <v>0</v>
      </c>
      <c r="K55" s="6">
        <f t="shared" si="0"/>
        <v>100</v>
      </c>
    </row>
    <row r="56" spans="1:11" x14ac:dyDescent="0.25">
      <c r="A56" s="2" t="s">
        <v>238</v>
      </c>
      <c r="B56" s="2">
        <v>60</v>
      </c>
      <c r="C56" s="2">
        <v>5</v>
      </c>
      <c r="D56" s="2">
        <v>0</v>
      </c>
      <c r="E56" s="2">
        <v>10</v>
      </c>
      <c r="F56" s="2">
        <v>0</v>
      </c>
      <c r="G56" s="2">
        <v>10</v>
      </c>
      <c r="H56" s="2">
        <v>0</v>
      </c>
      <c r="I56" s="2">
        <v>15</v>
      </c>
      <c r="J56" s="2">
        <v>0</v>
      </c>
      <c r="K56" s="6">
        <f t="shared" si="0"/>
        <v>100</v>
      </c>
    </row>
    <row r="57" spans="1:11" x14ac:dyDescent="0.25">
      <c r="A57" s="2" t="s">
        <v>236</v>
      </c>
      <c r="B57" s="2">
        <v>60</v>
      </c>
      <c r="C57" s="2">
        <v>10</v>
      </c>
      <c r="D57" s="2">
        <v>0</v>
      </c>
      <c r="E57" s="2">
        <v>5</v>
      </c>
      <c r="F57" s="2">
        <v>5</v>
      </c>
      <c r="G57" s="2">
        <v>10</v>
      </c>
      <c r="H57" s="2">
        <v>5</v>
      </c>
      <c r="I57" s="2">
        <v>5</v>
      </c>
      <c r="J57" s="2">
        <v>0</v>
      </c>
      <c r="K57" s="6">
        <f t="shared" si="0"/>
        <v>100</v>
      </c>
    </row>
    <row r="58" spans="1:11" x14ac:dyDescent="0.25">
      <c r="A58" s="2" t="s">
        <v>236</v>
      </c>
      <c r="B58" s="2">
        <v>60</v>
      </c>
      <c r="C58" s="2">
        <v>10</v>
      </c>
      <c r="D58" s="2">
        <v>10</v>
      </c>
      <c r="E58" s="2">
        <v>5</v>
      </c>
      <c r="F58" s="2">
        <v>0</v>
      </c>
      <c r="G58" s="2">
        <v>5</v>
      </c>
      <c r="H58" s="2">
        <v>0</v>
      </c>
      <c r="I58" s="2">
        <v>10</v>
      </c>
      <c r="J58" s="2">
        <v>0</v>
      </c>
      <c r="K58" s="6">
        <f t="shared" si="0"/>
        <v>100</v>
      </c>
    </row>
    <row r="59" spans="1:11" x14ac:dyDescent="0.25">
      <c r="A59" s="2" t="s">
        <v>215</v>
      </c>
      <c r="B59" s="2">
        <v>60</v>
      </c>
      <c r="C59" s="2">
        <v>20</v>
      </c>
      <c r="D59" s="2">
        <v>10</v>
      </c>
      <c r="E59" s="2">
        <v>0</v>
      </c>
      <c r="F59" s="2">
        <v>0</v>
      </c>
      <c r="G59" s="2">
        <v>0</v>
      </c>
      <c r="H59" s="2">
        <v>0</v>
      </c>
      <c r="I59" s="2">
        <v>10</v>
      </c>
      <c r="J59" s="2">
        <v>0</v>
      </c>
      <c r="K59" s="6">
        <f t="shared" si="0"/>
        <v>100</v>
      </c>
    </row>
    <row r="60" spans="1:11" x14ac:dyDescent="0.25">
      <c r="A60" s="2" t="s">
        <v>238</v>
      </c>
      <c r="B60" s="2">
        <v>70</v>
      </c>
      <c r="C60" s="2">
        <v>10</v>
      </c>
      <c r="D60" s="2">
        <v>0</v>
      </c>
      <c r="E60" s="2">
        <v>10</v>
      </c>
      <c r="F60" s="2">
        <v>10</v>
      </c>
      <c r="G60" s="2">
        <v>0</v>
      </c>
      <c r="H60" s="2">
        <v>0</v>
      </c>
      <c r="I60" s="2">
        <v>0</v>
      </c>
      <c r="J60" s="2">
        <v>0</v>
      </c>
      <c r="K60" s="6">
        <f t="shared" si="0"/>
        <v>100</v>
      </c>
    </row>
    <row r="61" spans="1:11" x14ac:dyDescent="0.25">
      <c r="A61" s="2" t="s">
        <v>236</v>
      </c>
      <c r="B61" s="2">
        <v>75</v>
      </c>
      <c r="C61" s="2">
        <v>10</v>
      </c>
      <c r="D61" s="2">
        <v>10</v>
      </c>
      <c r="E61" s="2">
        <v>0</v>
      </c>
      <c r="F61" s="2">
        <v>5</v>
      </c>
      <c r="G61" s="2">
        <v>0</v>
      </c>
      <c r="H61" s="2">
        <v>0</v>
      </c>
      <c r="I61" s="2">
        <v>0</v>
      </c>
      <c r="J61" s="2">
        <v>0</v>
      </c>
      <c r="K61" s="6">
        <f t="shared" si="0"/>
        <v>100</v>
      </c>
    </row>
    <row r="62" spans="1:11" x14ac:dyDescent="0.25">
      <c r="A62" s="2" t="s">
        <v>236</v>
      </c>
      <c r="B62" s="2">
        <v>75</v>
      </c>
      <c r="C62" s="2">
        <v>10</v>
      </c>
      <c r="D62" s="2">
        <v>5</v>
      </c>
      <c r="E62" s="2">
        <v>5</v>
      </c>
      <c r="F62" s="2">
        <v>5</v>
      </c>
      <c r="G62" s="2">
        <v>0</v>
      </c>
      <c r="H62" s="2">
        <v>0</v>
      </c>
      <c r="I62" s="2">
        <v>0</v>
      </c>
      <c r="J62" s="2">
        <v>0</v>
      </c>
      <c r="K62" s="6">
        <f t="shared" si="0"/>
        <v>100</v>
      </c>
    </row>
    <row r="63" spans="1:11" x14ac:dyDescent="0.25">
      <c r="A63" s="2" t="s">
        <v>238</v>
      </c>
      <c r="B63" s="2">
        <v>80</v>
      </c>
      <c r="C63" s="2">
        <v>0</v>
      </c>
      <c r="D63" s="2">
        <v>0</v>
      </c>
      <c r="E63" s="2">
        <v>0</v>
      </c>
      <c r="F63" s="2">
        <v>0</v>
      </c>
      <c r="G63" s="2">
        <v>0</v>
      </c>
      <c r="H63" s="2">
        <v>0</v>
      </c>
      <c r="I63" s="2">
        <v>20</v>
      </c>
      <c r="J63" s="2">
        <v>0</v>
      </c>
      <c r="K63" s="6">
        <f t="shared" si="0"/>
        <v>100</v>
      </c>
    </row>
    <row r="64" spans="1:11" x14ac:dyDescent="0.25">
      <c r="A64" s="2" t="s">
        <v>238</v>
      </c>
      <c r="B64" s="2">
        <v>100</v>
      </c>
      <c r="C64" s="2">
        <v>0</v>
      </c>
      <c r="D64" s="2">
        <v>0</v>
      </c>
      <c r="E64" s="2">
        <v>0</v>
      </c>
      <c r="F64" s="2">
        <v>0</v>
      </c>
      <c r="G64" s="2">
        <v>0</v>
      </c>
      <c r="H64" s="2">
        <v>0</v>
      </c>
      <c r="I64" s="2">
        <v>0</v>
      </c>
      <c r="J64" s="2">
        <v>0</v>
      </c>
      <c r="K64" s="6">
        <f t="shared" si="0"/>
        <v>100</v>
      </c>
    </row>
    <row r="66" spans="1:12" x14ac:dyDescent="0.25">
      <c r="B66">
        <f t="shared" ref="B66:J66" si="1">SUM(B6:B65)</f>
        <v>1746</v>
      </c>
      <c r="C66" s="19">
        <f t="shared" si="1"/>
        <v>987</v>
      </c>
      <c r="D66" s="19">
        <f t="shared" si="1"/>
        <v>306</v>
      </c>
      <c r="E66" s="19">
        <f t="shared" si="1"/>
        <v>756</v>
      </c>
      <c r="F66" s="19">
        <f t="shared" si="1"/>
        <v>707</v>
      </c>
      <c r="G66" s="19">
        <f t="shared" si="1"/>
        <v>334</v>
      </c>
      <c r="H66" s="19">
        <f t="shared" si="1"/>
        <v>164</v>
      </c>
      <c r="I66" s="19">
        <f t="shared" si="1"/>
        <v>575</v>
      </c>
      <c r="J66" s="19">
        <f t="shared" si="1"/>
        <v>325</v>
      </c>
    </row>
    <row r="71" spans="1:12" x14ac:dyDescent="0.25">
      <c r="A71" s="2"/>
      <c r="B71" s="2"/>
      <c r="C71" s="2"/>
      <c r="D71" s="2"/>
      <c r="E71" s="2"/>
      <c r="F71" s="2"/>
      <c r="G71" s="2"/>
      <c r="H71" s="2"/>
      <c r="I71" s="2"/>
      <c r="J71" s="2"/>
      <c r="K71" s="6"/>
      <c r="L71" s="2"/>
    </row>
  </sheetData>
  <sortState ref="N5:O13">
    <sortCondition descending="1" ref="O5:O13"/>
  </sortState>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53"/>
  <sheetViews>
    <sheetView workbookViewId="0"/>
  </sheetViews>
  <sheetFormatPr defaultRowHeight="15" x14ac:dyDescent="0.25"/>
  <cols>
    <col min="1" max="1" width="8.85546875" style="19"/>
    <col min="2" max="2" width="13.28515625" style="19" customWidth="1"/>
    <col min="3" max="3" width="8.85546875" style="19"/>
    <col min="4" max="4" width="9.42578125" style="19" customWidth="1"/>
    <col min="5" max="5" width="14.5703125" customWidth="1"/>
    <col min="6" max="6" width="13" customWidth="1"/>
    <col min="8" max="8" width="3.28515625" style="19" customWidth="1"/>
    <col min="9" max="9" width="11.7109375" bestFit="1" customWidth="1"/>
    <col min="10" max="10" width="15" customWidth="1"/>
    <col min="13" max="13" width="10.140625" customWidth="1"/>
    <col min="14" max="14" width="10.140625" style="19" customWidth="1"/>
    <col min="17" max="17" width="4.140625" customWidth="1"/>
    <col min="20" max="20" width="3.7109375" customWidth="1"/>
    <col min="23" max="23" width="3.140625" customWidth="1"/>
    <col min="26" max="26" width="4" customWidth="1"/>
    <col min="29" max="29" width="3.7109375" customWidth="1"/>
    <col min="32" max="32" width="2.85546875" customWidth="1"/>
    <col min="35" max="35" width="2.7109375" customWidth="1"/>
  </cols>
  <sheetData>
    <row r="1" spans="1:15" x14ac:dyDescent="0.25">
      <c r="A1" s="15" t="s">
        <v>495</v>
      </c>
    </row>
    <row r="2" spans="1:15" x14ac:dyDescent="0.25">
      <c r="A2" s="15" t="s">
        <v>496</v>
      </c>
    </row>
    <row r="3" spans="1:15" x14ac:dyDescent="0.25">
      <c r="J3" s="19" t="s">
        <v>577</v>
      </c>
      <c r="M3" t="s">
        <v>578</v>
      </c>
    </row>
    <row r="4" spans="1:15" x14ac:dyDescent="0.25">
      <c r="G4" s="23"/>
      <c r="K4">
        <v>2017</v>
      </c>
      <c r="L4">
        <v>2015</v>
      </c>
      <c r="M4">
        <v>2013</v>
      </c>
      <c r="N4">
        <v>2012</v>
      </c>
    </row>
    <row r="5" spans="1:15" x14ac:dyDescent="0.25">
      <c r="A5" s="19" t="s">
        <v>500</v>
      </c>
      <c r="B5" s="19" t="s">
        <v>502</v>
      </c>
      <c r="D5"/>
      <c r="E5" s="19" t="s">
        <v>501</v>
      </c>
      <c r="F5" s="19" t="s">
        <v>502</v>
      </c>
      <c r="G5" s="19"/>
      <c r="J5" s="19" t="s">
        <v>476</v>
      </c>
      <c r="K5" s="25">
        <f>8.8</f>
        <v>8.8000000000000007</v>
      </c>
      <c r="L5" s="25">
        <f>11.8</f>
        <v>11.8</v>
      </c>
      <c r="M5" s="25">
        <f>12</f>
        <v>12</v>
      </c>
      <c r="N5" s="25">
        <f>5.6</f>
        <v>5.6</v>
      </c>
    </row>
    <row r="6" spans="1:15" x14ac:dyDescent="0.25">
      <c r="A6" s="2" t="s">
        <v>238</v>
      </c>
      <c r="B6" s="76">
        <v>0</v>
      </c>
      <c r="C6" s="2">
        <v>2017</v>
      </c>
      <c r="E6" s="2" t="s">
        <v>236</v>
      </c>
      <c r="F6" s="76">
        <v>0</v>
      </c>
      <c r="G6" s="2">
        <v>2016</v>
      </c>
      <c r="H6" s="2"/>
      <c r="I6" s="2"/>
      <c r="J6" s="19" t="s">
        <v>501</v>
      </c>
      <c r="K6" s="25">
        <f>F73/66</f>
        <v>4.9954545454545451</v>
      </c>
      <c r="L6" s="19">
        <v>6.2</v>
      </c>
      <c r="M6">
        <v>7.6</v>
      </c>
      <c r="N6" s="25">
        <v>3</v>
      </c>
    </row>
    <row r="7" spans="1:15" x14ac:dyDescent="0.25">
      <c r="A7" s="2" t="s">
        <v>238</v>
      </c>
      <c r="B7" s="76">
        <v>0</v>
      </c>
      <c r="C7" s="2">
        <v>2017</v>
      </c>
      <c r="E7" s="2" t="s">
        <v>238</v>
      </c>
      <c r="F7" s="76">
        <v>0</v>
      </c>
      <c r="G7" s="2">
        <v>2016</v>
      </c>
      <c r="H7" s="2"/>
      <c r="I7" s="2"/>
      <c r="J7" s="19" t="s">
        <v>500</v>
      </c>
      <c r="K7" s="25">
        <f>B75/68</f>
        <v>3.7614705882352943</v>
      </c>
      <c r="L7" s="19">
        <v>5.6</v>
      </c>
      <c r="M7">
        <v>4.4000000000000004</v>
      </c>
      <c r="N7">
        <v>2.6</v>
      </c>
    </row>
    <row r="8" spans="1:15" x14ac:dyDescent="0.25">
      <c r="A8" s="2" t="s">
        <v>238</v>
      </c>
      <c r="B8" s="76">
        <v>0</v>
      </c>
      <c r="C8" s="2">
        <v>2017</v>
      </c>
      <c r="E8" s="2" t="s">
        <v>236</v>
      </c>
      <c r="F8" s="77">
        <v>0</v>
      </c>
      <c r="G8" s="3">
        <v>2016</v>
      </c>
      <c r="H8" s="2"/>
      <c r="I8" s="2"/>
      <c r="J8" s="19"/>
      <c r="O8" s="25"/>
    </row>
    <row r="9" spans="1:15" x14ac:dyDescent="0.25">
      <c r="A9" s="2" t="s">
        <v>238</v>
      </c>
      <c r="B9" s="76">
        <v>0</v>
      </c>
      <c r="C9" s="2">
        <v>2016</v>
      </c>
      <c r="E9" s="2" t="s">
        <v>237</v>
      </c>
      <c r="F9" s="76">
        <v>0</v>
      </c>
      <c r="G9" s="2">
        <v>2016</v>
      </c>
      <c r="H9" s="2"/>
      <c r="I9" s="2"/>
      <c r="J9" s="3"/>
    </row>
    <row r="10" spans="1:15" x14ac:dyDescent="0.25">
      <c r="A10" s="2" t="s">
        <v>238</v>
      </c>
      <c r="B10" s="76">
        <v>0</v>
      </c>
      <c r="C10" s="3">
        <v>0</v>
      </c>
      <c r="E10" s="2" t="s">
        <v>238</v>
      </c>
      <c r="F10" s="76">
        <v>0</v>
      </c>
      <c r="G10" s="2">
        <v>2017</v>
      </c>
      <c r="H10" s="2"/>
      <c r="I10" s="2"/>
      <c r="J10" s="3"/>
    </row>
    <row r="11" spans="1:15" x14ac:dyDescent="0.25">
      <c r="A11" s="2" t="s">
        <v>238</v>
      </c>
      <c r="B11" s="76">
        <v>0</v>
      </c>
      <c r="C11" s="2">
        <v>2016</v>
      </c>
      <c r="E11" s="2" t="s">
        <v>238</v>
      </c>
      <c r="F11" s="76">
        <v>0</v>
      </c>
      <c r="G11" s="3"/>
      <c r="H11" s="2"/>
      <c r="I11" s="2"/>
      <c r="J11" s="3"/>
    </row>
    <row r="12" spans="1:15" x14ac:dyDescent="0.25">
      <c r="A12" s="2" t="s">
        <v>238</v>
      </c>
      <c r="B12" s="76">
        <v>0</v>
      </c>
      <c r="C12" s="2">
        <v>2016</v>
      </c>
      <c r="E12" s="2" t="s">
        <v>238</v>
      </c>
      <c r="F12" s="76">
        <v>0</v>
      </c>
      <c r="G12" s="3"/>
      <c r="H12" s="2"/>
      <c r="I12" s="2"/>
      <c r="J12" s="3"/>
    </row>
    <row r="13" spans="1:15" x14ac:dyDescent="0.25">
      <c r="A13" s="2" t="s">
        <v>238</v>
      </c>
      <c r="B13" s="76">
        <v>0</v>
      </c>
      <c r="C13" s="3">
        <v>0</v>
      </c>
      <c r="E13" s="2" t="s">
        <v>215</v>
      </c>
      <c r="F13" s="76">
        <v>0</v>
      </c>
      <c r="G13" s="2"/>
      <c r="H13" s="2"/>
      <c r="I13" s="2"/>
      <c r="J13" s="2"/>
    </row>
    <row r="14" spans="1:15" x14ac:dyDescent="0.25">
      <c r="A14" s="2" t="s">
        <v>215</v>
      </c>
      <c r="B14" s="76">
        <v>0</v>
      </c>
      <c r="C14" s="2"/>
      <c r="E14" s="2" t="s">
        <v>237</v>
      </c>
      <c r="F14" s="76">
        <v>0</v>
      </c>
      <c r="G14" s="2"/>
      <c r="H14" s="2"/>
      <c r="I14" s="2"/>
      <c r="J14" s="2"/>
    </row>
    <row r="15" spans="1:15" x14ac:dyDescent="0.25">
      <c r="A15" s="2" t="s">
        <v>236</v>
      </c>
      <c r="B15" s="76">
        <v>0.1</v>
      </c>
      <c r="C15" s="2">
        <v>2016</v>
      </c>
      <c r="E15" s="3" t="s">
        <v>238</v>
      </c>
      <c r="F15" s="77">
        <v>0</v>
      </c>
      <c r="G15" s="3"/>
      <c r="H15" s="2"/>
      <c r="I15" s="2"/>
      <c r="J15" s="2"/>
    </row>
    <row r="16" spans="1:15" x14ac:dyDescent="0.25">
      <c r="A16" s="2" t="s">
        <v>238</v>
      </c>
      <c r="B16" s="76">
        <v>0.1</v>
      </c>
      <c r="C16" s="2">
        <v>2016</v>
      </c>
      <c r="E16" s="2" t="s">
        <v>238</v>
      </c>
      <c r="F16" s="76">
        <v>0.1</v>
      </c>
      <c r="G16" s="2">
        <v>2016</v>
      </c>
      <c r="H16" s="2"/>
      <c r="I16" s="2"/>
      <c r="J16" s="2"/>
    </row>
    <row r="17" spans="1:37" x14ac:dyDescent="0.25">
      <c r="A17" s="2" t="s">
        <v>238</v>
      </c>
      <c r="B17" s="76">
        <v>0.1</v>
      </c>
      <c r="C17" s="2">
        <v>2016</v>
      </c>
      <c r="E17" s="2" t="s">
        <v>238</v>
      </c>
      <c r="F17" s="76">
        <v>0.1</v>
      </c>
      <c r="G17" s="2">
        <v>2016</v>
      </c>
      <c r="H17" s="2"/>
      <c r="I17" s="2"/>
      <c r="J17" s="2"/>
    </row>
    <row r="18" spans="1:37" x14ac:dyDescent="0.25">
      <c r="A18" s="2" t="s">
        <v>236</v>
      </c>
      <c r="B18" s="76">
        <v>0.3</v>
      </c>
      <c r="C18" s="2">
        <v>2016</v>
      </c>
      <c r="E18" s="2" t="s">
        <v>238</v>
      </c>
      <c r="F18" s="76">
        <v>0.2</v>
      </c>
      <c r="G18" s="2">
        <v>2016</v>
      </c>
      <c r="H18" s="2"/>
      <c r="I18" s="2"/>
      <c r="J18" s="2"/>
    </row>
    <row r="19" spans="1:37" x14ac:dyDescent="0.25">
      <c r="A19" s="2" t="s">
        <v>238</v>
      </c>
      <c r="B19" s="76">
        <v>0.3</v>
      </c>
      <c r="C19" s="2">
        <v>2016</v>
      </c>
      <c r="E19" s="2" t="s">
        <v>238</v>
      </c>
      <c r="F19" s="76">
        <v>0.2</v>
      </c>
      <c r="G19" s="2">
        <v>2017</v>
      </c>
      <c r="H19" s="2"/>
      <c r="I19" s="2"/>
      <c r="J19" s="2"/>
    </row>
    <row r="20" spans="1:37" x14ac:dyDescent="0.25">
      <c r="A20" s="2" t="s">
        <v>236</v>
      </c>
      <c r="B20" s="76">
        <v>0.5</v>
      </c>
      <c r="C20" s="2">
        <v>2017</v>
      </c>
      <c r="E20" s="2" t="s">
        <v>215</v>
      </c>
      <c r="F20" s="76">
        <v>0.4</v>
      </c>
      <c r="G20" s="2"/>
      <c r="H20" s="2"/>
      <c r="I20" s="2"/>
      <c r="J20" s="2"/>
    </row>
    <row r="21" spans="1:37" x14ac:dyDescent="0.25">
      <c r="A21" s="2" t="s">
        <v>238</v>
      </c>
      <c r="B21" s="76">
        <v>0.5</v>
      </c>
      <c r="C21" s="2"/>
      <c r="E21" s="2" t="s">
        <v>236</v>
      </c>
      <c r="F21" s="76">
        <v>0.5</v>
      </c>
      <c r="G21" s="2">
        <v>2016</v>
      </c>
      <c r="H21" s="2"/>
      <c r="I21" s="2"/>
      <c r="J21" s="2"/>
    </row>
    <row r="22" spans="1:37" x14ac:dyDescent="0.25">
      <c r="A22" s="2" t="s">
        <v>238</v>
      </c>
      <c r="B22" s="76">
        <v>0.5</v>
      </c>
      <c r="C22" s="2">
        <v>2016</v>
      </c>
      <c r="E22" s="2" t="s">
        <v>238</v>
      </c>
      <c r="F22" s="76">
        <v>0.5</v>
      </c>
      <c r="G22" s="2">
        <v>2017</v>
      </c>
      <c r="H22" s="2"/>
      <c r="I22" s="2"/>
      <c r="J22" s="2"/>
    </row>
    <row r="23" spans="1:37" x14ac:dyDescent="0.25">
      <c r="A23" s="2" t="s">
        <v>215</v>
      </c>
      <c r="B23" s="76">
        <v>0.5</v>
      </c>
      <c r="C23" s="2"/>
      <c r="E23" s="2" t="s">
        <v>238</v>
      </c>
      <c r="F23" s="76">
        <v>0.5</v>
      </c>
      <c r="G23" s="2"/>
      <c r="H23" s="2"/>
      <c r="I23" s="2"/>
      <c r="J23" s="2"/>
    </row>
    <row r="24" spans="1:37" x14ac:dyDescent="0.25">
      <c r="A24" s="2" t="s">
        <v>236</v>
      </c>
      <c r="B24" s="76">
        <v>0.6</v>
      </c>
      <c r="C24" s="2">
        <v>2016</v>
      </c>
      <c r="E24" s="2" t="s">
        <v>237</v>
      </c>
      <c r="F24" s="76">
        <v>0.7</v>
      </c>
      <c r="G24" s="2">
        <v>2016</v>
      </c>
      <c r="H24" s="2"/>
      <c r="I24" s="2"/>
      <c r="J24" s="2"/>
    </row>
    <row r="25" spans="1:37" x14ac:dyDescent="0.25">
      <c r="A25" s="2" t="s">
        <v>236</v>
      </c>
      <c r="B25" s="76">
        <v>0.6</v>
      </c>
      <c r="C25" s="2">
        <v>2016</v>
      </c>
      <c r="E25" s="2" t="s">
        <v>238</v>
      </c>
      <c r="F25" s="76">
        <v>1</v>
      </c>
      <c r="G25" s="3">
        <v>1</v>
      </c>
      <c r="H25" s="2"/>
      <c r="I25" s="2"/>
      <c r="J25" s="2"/>
    </row>
    <row r="26" spans="1:37" x14ac:dyDescent="0.25">
      <c r="A26" s="2" t="s">
        <v>238</v>
      </c>
      <c r="B26" s="76">
        <v>0.6</v>
      </c>
      <c r="C26" s="2">
        <v>2017</v>
      </c>
      <c r="E26" s="2" t="s">
        <v>236</v>
      </c>
      <c r="F26" s="76">
        <v>1</v>
      </c>
      <c r="G26" s="2">
        <v>2016</v>
      </c>
      <c r="H26" s="2"/>
      <c r="I26" s="2"/>
      <c r="J26" s="2"/>
    </row>
    <row r="27" spans="1:37" x14ac:dyDescent="0.25">
      <c r="A27" s="2" t="s">
        <v>238</v>
      </c>
      <c r="B27" s="76">
        <v>0.8</v>
      </c>
      <c r="C27" s="2">
        <v>2016</v>
      </c>
      <c r="E27" s="2" t="s">
        <v>238</v>
      </c>
      <c r="F27" s="76">
        <v>1</v>
      </c>
      <c r="G27" s="2">
        <v>2016</v>
      </c>
      <c r="H27" s="2"/>
      <c r="I27" s="2"/>
      <c r="J27" s="2"/>
    </row>
    <row r="28" spans="1:37" x14ac:dyDescent="0.25">
      <c r="A28" s="2" t="s">
        <v>215</v>
      </c>
      <c r="B28" s="76">
        <v>0.8</v>
      </c>
      <c r="C28" s="2">
        <v>2017</v>
      </c>
      <c r="E28" s="2" t="s">
        <v>236</v>
      </c>
      <c r="F28" s="76">
        <v>1</v>
      </c>
      <c r="G28" s="2">
        <v>2016</v>
      </c>
      <c r="H28" s="2"/>
      <c r="I28" s="2"/>
      <c r="J28" s="2"/>
    </row>
    <row r="29" spans="1:37" x14ac:dyDescent="0.25">
      <c r="A29" s="2" t="s">
        <v>215</v>
      </c>
      <c r="B29" s="76">
        <v>0.88</v>
      </c>
      <c r="C29" s="2">
        <v>2016</v>
      </c>
      <c r="E29" s="2" t="s">
        <v>238</v>
      </c>
      <c r="F29" s="76">
        <v>1</v>
      </c>
      <c r="G29" s="2">
        <v>2016</v>
      </c>
      <c r="H29" s="2"/>
      <c r="I29" s="2"/>
      <c r="J29" s="2"/>
    </row>
    <row r="30" spans="1:37" x14ac:dyDescent="0.25">
      <c r="A30" s="2" t="s">
        <v>238</v>
      </c>
      <c r="B30" s="77">
        <v>0.9</v>
      </c>
      <c r="C30" s="2">
        <v>2016</v>
      </c>
      <c r="E30" s="2" t="s">
        <v>238</v>
      </c>
      <c r="F30" s="76">
        <v>1</v>
      </c>
      <c r="G30" s="2">
        <v>2016</v>
      </c>
      <c r="H30" s="2"/>
      <c r="I30" s="2"/>
      <c r="J30" s="2"/>
    </row>
    <row r="31" spans="1:37" x14ac:dyDescent="0.25">
      <c r="A31" s="2" t="s">
        <v>236</v>
      </c>
      <c r="B31" s="76">
        <v>1</v>
      </c>
      <c r="C31" s="2">
        <v>2016</v>
      </c>
      <c r="E31" s="2" t="s">
        <v>238</v>
      </c>
      <c r="F31" s="76">
        <v>1</v>
      </c>
      <c r="G31" s="2">
        <v>2016</v>
      </c>
      <c r="H31" s="2"/>
      <c r="I31" s="2"/>
      <c r="J31" s="2"/>
      <c r="O31" s="20" t="s">
        <v>500</v>
      </c>
      <c r="AA31" t="s">
        <v>501</v>
      </c>
    </row>
    <row r="32" spans="1:37" x14ac:dyDescent="0.25">
      <c r="A32" s="2" t="s">
        <v>236</v>
      </c>
      <c r="B32" s="76">
        <v>1</v>
      </c>
      <c r="C32" s="2">
        <v>2016</v>
      </c>
      <c r="E32" s="2" t="s">
        <v>238</v>
      </c>
      <c r="F32" s="76">
        <v>1</v>
      </c>
      <c r="G32" s="2">
        <v>2017</v>
      </c>
      <c r="H32" s="2"/>
      <c r="I32" s="2"/>
      <c r="J32" s="78" t="s">
        <v>575</v>
      </c>
      <c r="O32" s="2" t="s">
        <v>236</v>
      </c>
      <c r="P32" s="76">
        <v>0.1</v>
      </c>
      <c r="R32" s="2" t="s">
        <v>237</v>
      </c>
      <c r="S32" s="76">
        <v>2.5</v>
      </c>
      <c r="U32" s="2" t="s">
        <v>238</v>
      </c>
      <c r="V32" s="76">
        <v>0</v>
      </c>
      <c r="X32" s="2" t="s">
        <v>215</v>
      </c>
      <c r="Y32" s="76">
        <v>0</v>
      </c>
      <c r="AA32" s="2" t="s">
        <v>236</v>
      </c>
      <c r="AB32" s="76">
        <v>0</v>
      </c>
      <c r="AD32" s="2" t="s">
        <v>237</v>
      </c>
      <c r="AE32" s="76">
        <v>0</v>
      </c>
      <c r="AG32" s="2" t="s">
        <v>238</v>
      </c>
      <c r="AH32" s="76">
        <v>0</v>
      </c>
      <c r="AJ32" s="2" t="s">
        <v>215</v>
      </c>
      <c r="AK32" s="76">
        <v>0</v>
      </c>
    </row>
    <row r="33" spans="1:37" x14ac:dyDescent="0.25">
      <c r="A33" s="2" t="s">
        <v>236</v>
      </c>
      <c r="B33" s="76">
        <v>1</v>
      </c>
      <c r="C33" s="2">
        <v>2017</v>
      </c>
      <c r="E33" s="2" t="s">
        <v>236</v>
      </c>
      <c r="F33" s="76">
        <v>1</v>
      </c>
      <c r="G33" s="2">
        <v>2017</v>
      </c>
      <c r="H33" s="2"/>
      <c r="I33" s="2"/>
      <c r="J33" s="2"/>
      <c r="O33" s="2" t="s">
        <v>236</v>
      </c>
      <c r="P33" s="76">
        <v>0.3</v>
      </c>
      <c r="R33" s="2" t="s">
        <v>237</v>
      </c>
      <c r="S33" s="76">
        <v>3</v>
      </c>
      <c r="U33" s="2" t="s">
        <v>238</v>
      </c>
      <c r="V33" s="76">
        <v>0</v>
      </c>
      <c r="X33" s="2" t="s">
        <v>215</v>
      </c>
      <c r="Y33" s="76">
        <v>0.5</v>
      </c>
      <c r="AA33" s="2" t="s">
        <v>236</v>
      </c>
      <c r="AB33" s="77">
        <v>0</v>
      </c>
      <c r="AD33" s="2" t="s">
        <v>237</v>
      </c>
      <c r="AE33" s="76">
        <v>0</v>
      </c>
      <c r="AG33" s="2" t="s">
        <v>238</v>
      </c>
      <c r="AH33" s="76">
        <v>0</v>
      </c>
      <c r="AJ33" s="2" t="s">
        <v>215</v>
      </c>
      <c r="AK33" s="76">
        <v>0.4</v>
      </c>
    </row>
    <row r="34" spans="1:37" x14ac:dyDescent="0.25">
      <c r="A34" s="2" t="s">
        <v>238</v>
      </c>
      <c r="B34" s="76">
        <v>1</v>
      </c>
      <c r="C34" s="2">
        <v>2016</v>
      </c>
      <c r="E34" s="2" t="s">
        <v>238</v>
      </c>
      <c r="F34" s="76">
        <v>1</v>
      </c>
      <c r="G34" s="2">
        <v>2017</v>
      </c>
      <c r="H34" s="2"/>
      <c r="I34" s="2"/>
      <c r="J34" s="2"/>
      <c r="K34" t="s">
        <v>476</v>
      </c>
      <c r="L34" s="19" t="s">
        <v>500</v>
      </c>
      <c r="M34" s="19" t="s">
        <v>501</v>
      </c>
      <c r="O34" s="2" t="s">
        <v>236</v>
      </c>
      <c r="P34" s="76">
        <v>0.5</v>
      </c>
      <c r="R34" s="2" t="s">
        <v>237</v>
      </c>
      <c r="S34" s="76">
        <v>7</v>
      </c>
      <c r="U34" s="2" t="s">
        <v>238</v>
      </c>
      <c r="V34" s="76">
        <v>0</v>
      </c>
      <c r="X34" s="2" t="s">
        <v>215</v>
      </c>
      <c r="Y34" s="76">
        <v>0.8</v>
      </c>
      <c r="AA34" s="2" t="s">
        <v>236</v>
      </c>
      <c r="AB34" s="76">
        <v>0.5</v>
      </c>
      <c r="AD34" s="2" t="s">
        <v>237</v>
      </c>
      <c r="AE34" s="76">
        <v>0.7</v>
      </c>
      <c r="AG34" s="2" t="s">
        <v>238</v>
      </c>
      <c r="AH34" s="76">
        <v>0</v>
      </c>
      <c r="AJ34" s="2" t="s">
        <v>215</v>
      </c>
      <c r="AK34" s="76">
        <v>1</v>
      </c>
    </row>
    <row r="35" spans="1:37" x14ac:dyDescent="0.25">
      <c r="A35" s="2" t="s">
        <v>238</v>
      </c>
      <c r="B35" s="76">
        <v>1</v>
      </c>
      <c r="C35" s="2">
        <v>2017</v>
      </c>
      <c r="E35" s="2" t="s">
        <v>238</v>
      </c>
      <c r="F35" s="76">
        <v>1</v>
      </c>
      <c r="G35" s="2">
        <v>2017</v>
      </c>
      <c r="H35" s="2"/>
      <c r="I35" s="2"/>
      <c r="J35" s="78" t="s">
        <v>574</v>
      </c>
      <c r="K35" s="25">
        <f>SUM(L35:M35)</f>
        <v>16.889682539682539</v>
      </c>
      <c r="L35" s="25">
        <f>P54/21</f>
        <v>5.8619047619047615</v>
      </c>
      <c r="M35" s="25">
        <f>AB51/18</f>
        <v>11.027777777777779</v>
      </c>
      <c r="O35" s="2" t="s">
        <v>236</v>
      </c>
      <c r="P35" s="76">
        <v>0.6</v>
      </c>
      <c r="R35" s="2"/>
      <c r="S35" s="76"/>
      <c r="U35" s="2" t="s">
        <v>238</v>
      </c>
      <c r="V35" s="76">
        <v>0</v>
      </c>
      <c r="X35" s="2" t="s">
        <v>215</v>
      </c>
      <c r="Y35" s="76">
        <v>0.88</v>
      </c>
      <c r="AA35" s="2" t="s">
        <v>236</v>
      </c>
      <c r="AB35" s="76">
        <v>1</v>
      </c>
      <c r="AG35" s="2" t="s">
        <v>238</v>
      </c>
      <c r="AH35" s="76">
        <v>0</v>
      </c>
      <c r="AJ35" s="2" t="s">
        <v>215</v>
      </c>
      <c r="AK35" s="76">
        <v>2</v>
      </c>
    </row>
    <row r="36" spans="1:37" x14ac:dyDescent="0.25">
      <c r="A36" s="2" t="s">
        <v>238</v>
      </c>
      <c r="B36" s="76">
        <v>1</v>
      </c>
      <c r="C36" s="2">
        <v>2017</v>
      </c>
      <c r="E36" s="2" t="s">
        <v>215</v>
      </c>
      <c r="F36" s="76">
        <v>1</v>
      </c>
      <c r="G36" s="2">
        <v>2017</v>
      </c>
      <c r="H36" s="2"/>
      <c r="I36" s="2"/>
      <c r="J36" s="78" t="s">
        <v>484</v>
      </c>
      <c r="K36" s="25">
        <f>SUM(L36:M36)</f>
        <v>4.4000000000000004</v>
      </c>
      <c r="L36" s="25">
        <f>S37/3</f>
        <v>4.166666666666667</v>
      </c>
      <c r="M36" s="25">
        <f>AE36/3</f>
        <v>0.23333333333333331</v>
      </c>
      <c r="O36" s="2" t="s">
        <v>236</v>
      </c>
      <c r="P36" s="76">
        <v>0.6</v>
      </c>
      <c r="U36" s="2" t="s">
        <v>238</v>
      </c>
      <c r="V36" s="76">
        <v>0</v>
      </c>
      <c r="X36" s="2" t="s">
        <v>215</v>
      </c>
      <c r="Y36" s="76">
        <v>1</v>
      </c>
      <c r="AA36" s="2" t="s">
        <v>236</v>
      </c>
      <c r="AB36" s="76">
        <v>1</v>
      </c>
      <c r="AE36" s="25">
        <f>SUM(AE32:AE35)</f>
        <v>0.7</v>
      </c>
      <c r="AG36" s="3" t="s">
        <v>238</v>
      </c>
      <c r="AH36" s="77">
        <v>0</v>
      </c>
      <c r="AJ36" s="2" t="s">
        <v>215</v>
      </c>
      <c r="AK36" s="76">
        <v>2</v>
      </c>
    </row>
    <row r="37" spans="1:37" x14ac:dyDescent="0.25">
      <c r="A37" s="2" t="s">
        <v>238</v>
      </c>
      <c r="B37" s="76">
        <v>1</v>
      </c>
      <c r="C37" s="2">
        <v>2017</v>
      </c>
      <c r="E37" s="2" t="s">
        <v>238</v>
      </c>
      <c r="F37" s="76">
        <v>1</v>
      </c>
      <c r="G37" s="2">
        <v>2017</v>
      </c>
      <c r="H37" s="2"/>
      <c r="I37" s="2"/>
      <c r="J37" s="78" t="s">
        <v>320</v>
      </c>
      <c r="K37" s="25">
        <f>SUM(L37:M37)</f>
        <v>4.4722007722007717</v>
      </c>
      <c r="L37" s="25">
        <f>V68/35</f>
        <v>1.6857142857142857</v>
      </c>
      <c r="M37" s="25">
        <f>AH70/37</f>
        <v>2.7864864864864862</v>
      </c>
      <c r="O37" s="2" t="s">
        <v>236</v>
      </c>
      <c r="P37" s="76">
        <v>1</v>
      </c>
      <c r="S37" s="25">
        <f>SUM(S32:S36)</f>
        <v>12.5</v>
      </c>
      <c r="U37" s="2" t="s">
        <v>238</v>
      </c>
      <c r="V37" s="76">
        <v>0</v>
      </c>
      <c r="X37" s="43" t="s">
        <v>215</v>
      </c>
      <c r="Y37" s="76">
        <v>4</v>
      </c>
      <c r="AA37" s="2" t="s">
        <v>236</v>
      </c>
      <c r="AB37" s="76">
        <v>1</v>
      </c>
      <c r="AG37" s="2" t="s">
        <v>238</v>
      </c>
      <c r="AH37" s="76">
        <v>0.1</v>
      </c>
      <c r="AJ37" s="2" t="s">
        <v>215</v>
      </c>
      <c r="AK37" s="76">
        <v>5</v>
      </c>
    </row>
    <row r="38" spans="1:37" x14ac:dyDescent="0.25">
      <c r="A38" s="2" t="s">
        <v>215</v>
      </c>
      <c r="B38" s="76">
        <v>1</v>
      </c>
      <c r="C38" s="2">
        <v>2016</v>
      </c>
      <c r="E38" s="2" t="s">
        <v>238</v>
      </c>
      <c r="F38" s="76">
        <v>1</v>
      </c>
      <c r="G38" s="2"/>
      <c r="H38" s="2"/>
      <c r="I38" s="2"/>
      <c r="J38" s="78" t="s">
        <v>310</v>
      </c>
      <c r="K38" s="25">
        <f>SUM(L38:M38)</f>
        <v>10.222777777777779</v>
      </c>
      <c r="L38" s="25">
        <f>Y42/9</f>
        <v>6.7977777777777781</v>
      </c>
      <c r="M38" s="25">
        <f>AK41/8</f>
        <v>3.4249999999999998</v>
      </c>
      <c r="O38" s="2" t="s">
        <v>236</v>
      </c>
      <c r="P38" s="76">
        <v>1</v>
      </c>
      <c r="U38" s="2" t="s">
        <v>238</v>
      </c>
      <c r="V38" s="76">
        <v>0</v>
      </c>
      <c r="X38" s="2" t="s">
        <v>215</v>
      </c>
      <c r="Y38" s="76">
        <v>10</v>
      </c>
      <c r="AA38" s="2" t="s">
        <v>236</v>
      </c>
      <c r="AB38" s="76">
        <v>2</v>
      </c>
      <c r="AG38" s="2" t="s">
        <v>238</v>
      </c>
      <c r="AH38" s="76">
        <v>0.1</v>
      </c>
      <c r="AJ38" s="2" t="s">
        <v>215</v>
      </c>
      <c r="AK38" s="76">
        <v>7</v>
      </c>
    </row>
    <row r="39" spans="1:37" x14ac:dyDescent="0.25">
      <c r="A39" s="2" t="s">
        <v>238</v>
      </c>
      <c r="B39" s="76">
        <v>1.2</v>
      </c>
      <c r="C39" s="2">
        <v>2016</v>
      </c>
      <c r="E39" s="2" t="s">
        <v>238</v>
      </c>
      <c r="F39" s="76">
        <v>1.5</v>
      </c>
      <c r="G39" s="2"/>
      <c r="H39" s="2"/>
      <c r="I39" s="2"/>
      <c r="J39" s="2"/>
      <c r="K39" s="25"/>
      <c r="L39" s="25"/>
      <c r="M39" s="25"/>
      <c r="N39" s="25"/>
      <c r="O39" s="2" t="s">
        <v>236</v>
      </c>
      <c r="P39" s="76">
        <v>1</v>
      </c>
      <c r="U39" s="2" t="s">
        <v>238</v>
      </c>
      <c r="V39" s="76">
        <v>0</v>
      </c>
      <c r="X39" s="2" t="s">
        <v>215</v>
      </c>
      <c r="Y39" s="76">
        <v>10</v>
      </c>
      <c r="AA39" s="2" t="s">
        <v>236</v>
      </c>
      <c r="AB39" s="76">
        <v>2</v>
      </c>
      <c r="AG39" s="2" t="s">
        <v>238</v>
      </c>
      <c r="AH39" s="76">
        <v>0.2</v>
      </c>
      <c r="AJ39" s="2" t="s">
        <v>215</v>
      </c>
      <c r="AK39" s="76">
        <v>10</v>
      </c>
    </row>
    <row r="40" spans="1:37" x14ac:dyDescent="0.25">
      <c r="A40" s="2" t="s">
        <v>236</v>
      </c>
      <c r="B40" s="77">
        <v>1.5</v>
      </c>
      <c r="C40" s="3">
        <v>2016</v>
      </c>
      <c r="E40" s="2" t="s">
        <v>238</v>
      </c>
      <c r="F40" s="76">
        <v>2</v>
      </c>
      <c r="G40" s="2">
        <v>2016</v>
      </c>
      <c r="H40" s="2"/>
      <c r="I40" s="2"/>
      <c r="J40" s="2"/>
      <c r="K40" s="25"/>
      <c r="L40" s="25"/>
      <c r="M40" s="25"/>
      <c r="N40" s="25"/>
      <c r="O40" s="2" t="s">
        <v>236</v>
      </c>
      <c r="P40" s="77">
        <v>1.5</v>
      </c>
      <c r="U40" s="2" t="s">
        <v>238</v>
      </c>
      <c r="V40" s="76">
        <v>0.1</v>
      </c>
      <c r="X40" s="2" t="s">
        <v>215</v>
      </c>
      <c r="Y40" s="76">
        <v>34</v>
      </c>
      <c r="AA40" s="2" t="s">
        <v>236</v>
      </c>
      <c r="AB40" s="76">
        <v>2</v>
      </c>
      <c r="AG40" s="2" t="s">
        <v>238</v>
      </c>
      <c r="AH40" s="76">
        <v>0.2</v>
      </c>
    </row>
    <row r="41" spans="1:37" x14ac:dyDescent="0.25">
      <c r="A41" s="2" t="s">
        <v>238</v>
      </c>
      <c r="B41" s="76">
        <v>1.5</v>
      </c>
      <c r="C41" s="2">
        <v>2017</v>
      </c>
      <c r="E41" s="2" t="s">
        <v>236</v>
      </c>
      <c r="F41" s="76">
        <v>2</v>
      </c>
      <c r="G41" s="2">
        <v>2016</v>
      </c>
      <c r="H41" s="2"/>
      <c r="I41" s="2"/>
      <c r="J41" s="2"/>
      <c r="O41" s="2" t="s">
        <v>236</v>
      </c>
      <c r="P41" s="76">
        <v>2</v>
      </c>
      <c r="U41" s="2" t="s">
        <v>238</v>
      </c>
      <c r="V41" s="76">
        <v>0.1</v>
      </c>
      <c r="AA41" s="2" t="s">
        <v>236</v>
      </c>
      <c r="AB41" s="76">
        <v>3</v>
      </c>
      <c r="AG41" s="2" t="s">
        <v>238</v>
      </c>
      <c r="AH41" s="76">
        <v>0.5</v>
      </c>
      <c r="AK41" s="25">
        <f>SUM(AK32:AK40)</f>
        <v>27.4</v>
      </c>
    </row>
    <row r="42" spans="1:37" x14ac:dyDescent="0.25">
      <c r="A42" s="2" t="s">
        <v>236</v>
      </c>
      <c r="B42" s="76">
        <v>2</v>
      </c>
      <c r="C42" s="2">
        <v>2016</v>
      </c>
      <c r="E42" s="2" t="s">
        <v>236</v>
      </c>
      <c r="F42" s="76">
        <v>2</v>
      </c>
      <c r="G42" s="2">
        <v>2016</v>
      </c>
      <c r="H42" s="2"/>
      <c r="I42" s="2"/>
      <c r="J42" s="2"/>
      <c r="O42" s="2" t="s">
        <v>236</v>
      </c>
      <c r="P42" s="76">
        <v>2</v>
      </c>
      <c r="U42" s="2" t="s">
        <v>238</v>
      </c>
      <c r="V42" s="76">
        <v>0.3</v>
      </c>
      <c r="Y42" s="25">
        <f>SUM(Y32:Y41)</f>
        <v>61.18</v>
      </c>
      <c r="AA42" s="2" t="s">
        <v>236</v>
      </c>
      <c r="AB42" s="76">
        <v>5</v>
      </c>
      <c r="AG42" s="2" t="s">
        <v>238</v>
      </c>
      <c r="AH42" s="76">
        <v>0.5</v>
      </c>
    </row>
    <row r="43" spans="1:37" x14ac:dyDescent="0.25">
      <c r="A43" s="2" t="s">
        <v>236</v>
      </c>
      <c r="B43" s="76">
        <v>2</v>
      </c>
      <c r="C43" s="2">
        <v>2016</v>
      </c>
      <c r="E43" s="2" t="s">
        <v>236</v>
      </c>
      <c r="F43" s="76">
        <v>2</v>
      </c>
      <c r="G43" s="2">
        <v>2016</v>
      </c>
      <c r="H43" s="2"/>
      <c r="I43" s="2"/>
      <c r="J43" s="2"/>
      <c r="O43" s="2" t="s">
        <v>236</v>
      </c>
      <c r="P43" s="76">
        <v>2.5</v>
      </c>
      <c r="U43" s="2" t="s">
        <v>238</v>
      </c>
      <c r="V43" s="76">
        <v>0.5</v>
      </c>
      <c r="AA43" s="2" t="s">
        <v>236</v>
      </c>
      <c r="AB43" s="76">
        <v>5</v>
      </c>
      <c r="AG43" s="2" t="s">
        <v>238</v>
      </c>
      <c r="AH43" s="76">
        <v>1</v>
      </c>
    </row>
    <row r="44" spans="1:37" x14ac:dyDescent="0.25">
      <c r="A44" s="2" t="s">
        <v>238</v>
      </c>
      <c r="B44" s="76">
        <v>2</v>
      </c>
      <c r="C44" s="2">
        <v>2016</v>
      </c>
      <c r="E44" s="2" t="s">
        <v>215</v>
      </c>
      <c r="F44" s="76">
        <v>2</v>
      </c>
      <c r="G44" s="2">
        <v>2016</v>
      </c>
      <c r="H44" s="2"/>
      <c r="I44" s="2"/>
      <c r="J44" s="2"/>
      <c r="O44" s="2" t="s">
        <v>236</v>
      </c>
      <c r="P44" s="76">
        <v>3</v>
      </c>
      <c r="U44" s="2" t="s">
        <v>238</v>
      </c>
      <c r="V44" s="76">
        <v>0.5</v>
      </c>
      <c r="AA44" s="2" t="s">
        <v>236</v>
      </c>
      <c r="AB44" s="76">
        <v>10</v>
      </c>
      <c r="AG44" s="2" t="s">
        <v>238</v>
      </c>
      <c r="AH44" s="76">
        <v>1</v>
      </c>
    </row>
    <row r="45" spans="1:37" x14ac:dyDescent="0.25">
      <c r="A45" s="2" t="s">
        <v>238</v>
      </c>
      <c r="B45" s="76">
        <v>2</v>
      </c>
      <c r="C45" s="2"/>
      <c r="E45" s="2" t="s">
        <v>215</v>
      </c>
      <c r="F45" s="76">
        <v>2</v>
      </c>
      <c r="G45" s="2">
        <v>2016</v>
      </c>
      <c r="H45" s="2"/>
      <c r="I45" s="2"/>
      <c r="J45" s="2"/>
      <c r="O45" s="2" t="s">
        <v>236</v>
      </c>
      <c r="P45" s="76">
        <v>3</v>
      </c>
      <c r="U45" s="2" t="s">
        <v>238</v>
      </c>
      <c r="V45" s="76">
        <v>0.6</v>
      </c>
      <c r="AA45" s="2" t="s">
        <v>236</v>
      </c>
      <c r="AB45" s="76">
        <v>10</v>
      </c>
      <c r="AG45" s="2" t="s">
        <v>238</v>
      </c>
      <c r="AH45" s="76">
        <v>1</v>
      </c>
    </row>
    <row r="46" spans="1:37" x14ac:dyDescent="0.25">
      <c r="A46" s="2" t="s">
        <v>238</v>
      </c>
      <c r="B46" s="76">
        <v>2</v>
      </c>
      <c r="C46" s="2">
        <v>2017</v>
      </c>
      <c r="E46" s="2" t="s">
        <v>238</v>
      </c>
      <c r="F46" s="76">
        <v>2</v>
      </c>
      <c r="G46" s="2">
        <v>2017</v>
      </c>
      <c r="H46" s="2"/>
      <c r="I46" s="2"/>
      <c r="J46" s="2"/>
      <c r="O46" s="2" t="s">
        <v>236</v>
      </c>
      <c r="P46" s="76">
        <v>4</v>
      </c>
      <c r="U46" s="2" t="s">
        <v>238</v>
      </c>
      <c r="V46" s="76">
        <v>0.8</v>
      </c>
      <c r="AA46" s="2" t="s">
        <v>236</v>
      </c>
      <c r="AB46" s="76">
        <v>25</v>
      </c>
      <c r="AG46" s="2" t="s">
        <v>238</v>
      </c>
      <c r="AH46" s="76">
        <v>1</v>
      </c>
    </row>
    <row r="47" spans="1:37" x14ac:dyDescent="0.25">
      <c r="A47" s="2" t="s">
        <v>238</v>
      </c>
      <c r="B47" s="76">
        <v>2</v>
      </c>
      <c r="C47" s="2">
        <v>2017</v>
      </c>
      <c r="E47" s="2" t="s">
        <v>238</v>
      </c>
      <c r="F47" s="76">
        <v>2</v>
      </c>
      <c r="G47" s="2"/>
      <c r="H47" s="2"/>
      <c r="I47" s="2"/>
      <c r="J47" s="2"/>
      <c r="O47" s="2" t="s">
        <v>236</v>
      </c>
      <c r="P47" s="76">
        <v>6</v>
      </c>
      <c r="U47" s="2" t="s">
        <v>238</v>
      </c>
      <c r="V47" s="77">
        <v>0.9</v>
      </c>
      <c r="AA47" s="2" t="s">
        <v>236</v>
      </c>
      <c r="AB47" s="76">
        <v>25</v>
      </c>
      <c r="AG47" s="2" t="s">
        <v>238</v>
      </c>
      <c r="AH47" s="76">
        <v>1</v>
      </c>
    </row>
    <row r="48" spans="1:37" x14ac:dyDescent="0.25">
      <c r="A48" s="2" t="s">
        <v>236</v>
      </c>
      <c r="B48" s="76">
        <v>2.5</v>
      </c>
      <c r="C48" s="2">
        <v>2016</v>
      </c>
      <c r="E48" s="2" t="s">
        <v>238</v>
      </c>
      <c r="F48" s="76">
        <v>3</v>
      </c>
      <c r="G48" s="3">
        <v>2016</v>
      </c>
      <c r="H48" s="2"/>
      <c r="I48" s="2"/>
      <c r="J48" s="2"/>
      <c r="O48" s="2" t="s">
        <v>236</v>
      </c>
      <c r="P48" s="76">
        <v>7</v>
      </c>
      <c r="U48" s="2" t="s">
        <v>238</v>
      </c>
      <c r="V48" s="76">
        <v>1</v>
      </c>
      <c r="AA48" s="2" t="s">
        <v>236</v>
      </c>
      <c r="AB48" s="77">
        <v>46</v>
      </c>
      <c r="AG48" s="2" t="s">
        <v>238</v>
      </c>
      <c r="AH48" s="76">
        <v>1</v>
      </c>
    </row>
    <row r="49" spans="1:34" x14ac:dyDescent="0.25">
      <c r="A49" s="2" t="s">
        <v>237</v>
      </c>
      <c r="B49" s="76">
        <v>2.5</v>
      </c>
      <c r="C49" s="2">
        <v>2016</v>
      </c>
      <c r="E49" s="2" t="s">
        <v>236</v>
      </c>
      <c r="F49" s="76">
        <v>3</v>
      </c>
      <c r="G49" s="2">
        <v>2016</v>
      </c>
      <c r="H49" s="2"/>
      <c r="I49" s="2"/>
      <c r="J49" s="2"/>
      <c r="O49" s="2" t="s">
        <v>236</v>
      </c>
      <c r="P49" s="76">
        <v>8</v>
      </c>
      <c r="U49" s="2" t="s">
        <v>238</v>
      </c>
      <c r="V49" s="76">
        <v>1</v>
      </c>
      <c r="AA49" s="2" t="s">
        <v>236</v>
      </c>
      <c r="AB49" s="76">
        <v>60</v>
      </c>
      <c r="AG49" s="2" t="s">
        <v>238</v>
      </c>
      <c r="AH49" s="76">
        <v>1</v>
      </c>
    </row>
    <row r="50" spans="1:34" x14ac:dyDescent="0.25">
      <c r="A50" s="2" t="s">
        <v>236</v>
      </c>
      <c r="B50" s="76">
        <v>3</v>
      </c>
      <c r="C50" s="2">
        <v>2016</v>
      </c>
      <c r="E50" s="2" t="s">
        <v>238</v>
      </c>
      <c r="F50" s="76">
        <v>3</v>
      </c>
      <c r="G50" s="2">
        <v>2016</v>
      </c>
      <c r="H50" s="2"/>
      <c r="I50" s="2"/>
      <c r="J50" s="2"/>
      <c r="O50" s="2" t="s">
        <v>236</v>
      </c>
      <c r="P50" s="77">
        <v>13</v>
      </c>
      <c r="U50" s="2" t="s">
        <v>238</v>
      </c>
      <c r="V50" s="76">
        <v>1</v>
      </c>
      <c r="AG50" s="2" t="s">
        <v>238</v>
      </c>
      <c r="AH50" s="76">
        <v>1</v>
      </c>
    </row>
    <row r="51" spans="1:34" x14ac:dyDescent="0.25">
      <c r="A51" s="2" t="s">
        <v>236</v>
      </c>
      <c r="B51" s="76">
        <v>3</v>
      </c>
      <c r="C51" s="2">
        <v>2017</v>
      </c>
      <c r="E51" s="2" t="s">
        <v>238</v>
      </c>
      <c r="F51" s="76">
        <v>3</v>
      </c>
      <c r="G51" s="2">
        <v>2016</v>
      </c>
      <c r="H51" s="2"/>
      <c r="I51" s="2"/>
      <c r="J51" s="2"/>
      <c r="O51" s="2" t="s">
        <v>236</v>
      </c>
      <c r="P51" s="76">
        <v>16</v>
      </c>
      <c r="U51" s="2" t="s">
        <v>238</v>
      </c>
      <c r="V51" s="76">
        <v>1</v>
      </c>
      <c r="AB51" s="25">
        <f>SUM(AB32:AB50)</f>
        <v>198.5</v>
      </c>
      <c r="AG51" s="2" t="s">
        <v>238</v>
      </c>
      <c r="AH51" s="76">
        <v>1</v>
      </c>
    </row>
    <row r="52" spans="1:34" x14ac:dyDescent="0.25">
      <c r="A52" s="2" t="s">
        <v>237</v>
      </c>
      <c r="B52" s="76">
        <v>3</v>
      </c>
      <c r="C52" s="2">
        <v>2017</v>
      </c>
      <c r="E52" s="2" t="s">
        <v>236</v>
      </c>
      <c r="F52" s="76">
        <v>5</v>
      </c>
      <c r="G52" s="2">
        <v>2016</v>
      </c>
      <c r="H52" s="2"/>
      <c r="I52" s="2"/>
      <c r="J52" s="2"/>
      <c r="O52" s="2" t="s">
        <v>236</v>
      </c>
      <c r="P52" s="77">
        <v>50</v>
      </c>
      <c r="U52" s="2" t="s">
        <v>238</v>
      </c>
      <c r="V52" s="76">
        <v>1.2</v>
      </c>
      <c r="AG52" s="2" t="s">
        <v>238</v>
      </c>
      <c r="AH52" s="76">
        <v>1</v>
      </c>
    </row>
    <row r="53" spans="1:34" x14ac:dyDescent="0.25">
      <c r="A53" s="2" t="s">
        <v>238</v>
      </c>
      <c r="B53" s="76">
        <v>3</v>
      </c>
      <c r="C53" s="2"/>
      <c r="E53" s="2" t="s">
        <v>215</v>
      </c>
      <c r="F53" s="76">
        <v>5</v>
      </c>
      <c r="G53" s="2">
        <v>2016</v>
      </c>
      <c r="H53" s="2"/>
      <c r="I53" s="2"/>
      <c r="J53" s="2"/>
      <c r="U53" s="2" t="s">
        <v>238</v>
      </c>
      <c r="V53" s="76">
        <v>1.5</v>
      </c>
      <c r="AG53" s="2" t="s">
        <v>238</v>
      </c>
      <c r="AH53" s="76">
        <v>1.5</v>
      </c>
    </row>
    <row r="54" spans="1:34" x14ac:dyDescent="0.25">
      <c r="A54" s="2" t="s">
        <v>238</v>
      </c>
      <c r="B54" s="76">
        <v>3</v>
      </c>
      <c r="C54" s="2">
        <v>2016</v>
      </c>
      <c r="E54" s="2" t="s">
        <v>238</v>
      </c>
      <c r="F54" s="76">
        <v>5</v>
      </c>
      <c r="G54" s="2">
        <v>2017</v>
      </c>
      <c r="H54" s="2"/>
      <c r="I54" s="2"/>
      <c r="J54" s="2"/>
      <c r="P54" s="25">
        <f>SUM(P32:P53)</f>
        <v>123.1</v>
      </c>
      <c r="U54" s="2" t="s">
        <v>238</v>
      </c>
      <c r="V54" s="76">
        <v>2</v>
      </c>
      <c r="AG54" s="2" t="s">
        <v>238</v>
      </c>
      <c r="AH54" s="76">
        <v>2</v>
      </c>
    </row>
    <row r="55" spans="1:34" x14ac:dyDescent="0.25">
      <c r="A55" s="2" t="s">
        <v>238</v>
      </c>
      <c r="B55" s="76">
        <v>3</v>
      </c>
      <c r="C55" s="2">
        <v>2017</v>
      </c>
      <c r="E55" s="2" t="s">
        <v>236</v>
      </c>
      <c r="F55" s="76">
        <v>5</v>
      </c>
      <c r="G55" s="2">
        <v>2017</v>
      </c>
      <c r="H55" s="3"/>
      <c r="I55" s="3"/>
      <c r="J55" s="3"/>
      <c r="U55" s="2" t="s">
        <v>238</v>
      </c>
      <c r="V55" s="76">
        <v>2</v>
      </c>
      <c r="AG55" s="2" t="s">
        <v>238</v>
      </c>
      <c r="AH55" s="76">
        <v>2</v>
      </c>
    </row>
    <row r="56" spans="1:34" x14ac:dyDescent="0.25">
      <c r="A56" s="2" t="s">
        <v>236</v>
      </c>
      <c r="B56" s="76">
        <v>4</v>
      </c>
      <c r="C56" s="2">
        <v>2017</v>
      </c>
      <c r="E56" s="2" t="s">
        <v>238</v>
      </c>
      <c r="F56" s="76">
        <v>6</v>
      </c>
      <c r="G56" s="2">
        <v>2017</v>
      </c>
      <c r="H56" s="2"/>
      <c r="I56" s="2"/>
      <c r="J56" s="2"/>
      <c r="U56" s="2" t="s">
        <v>238</v>
      </c>
      <c r="V56" s="76">
        <v>2</v>
      </c>
      <c r="AG56" s="2" t="s">
        <v>238</v>
      </c>
      <c r="AH56" s="76">
        <v>2</v>
      </c>
    </row>
    <row r="57" spans="1:34" x14ac:dyDescent="0.25">
      <c r="A57" s="2" t="s">
        <v>238</v>
      </c>
      <c r="B57" s="76">
        <v>4</v>
      </c>
      <c r="C57" s="2">
        <v>2017</v>
      </c>
      <c r="E57" s="2" t="s">
        <v>238</v>
      </c>
      <c r="F57" s="76">
        <v>6</v>
      </c>
      <c r="G57" s="2">
        <v>2017</v>
      </c>
      <c r="H57" s="2"/>
      <c r="I57" s="2"/>
      <c r="J57" s="3"/>
      <c r="U57" s="2" t="s">
        <v>238</v>
      </c>
      <c r="V57" s="76">
        <v>2</v>
      </c>
      <c r="AG57" s="2" t="s">
        <v>238</v>
      </c>
      <c r="AH57" s="76">
        <v>3</v>
      </c>
    </row>
    <row r="58" spans="1:34" x14ac:dyDescent="0.25">
      <c r="A58" s="43" t="s">
        <v>215</v>
      </c>
      <c r="B58" s="76">
        <v>4</v>
      </c>
      <c r="C58" s="2">
        <v>2017</v>
      </c>
      <c r="E58" s="2" t="s">
        <v>238</v>
      </c>
      <c r="F58" s="76">
        <v>6</v>
      </c>
      <c r="G58" s="2">
        <v>2017</v>
      </c>
      <c r="H58" s="2"/>
      <c r="I58" s="2"/>
      <c r="J58" s="3"/>
      <c r="U58" s="2" t="s">
        <v>238</v>
      </c>
      <c r="V58" s="76">
        <v>3</v>
      </c>
      <c r="AG58" s="2" t="s">
        <v>238</v>
      </c>
      <c r="AH58" s="76">
        <v>3</v>
      </c>
    </row>
    <row r="59" spans="1:34" x14ac:dyDescent="0.25">
      <c r="A59" s="2" t="s">
        <v>238</v>
      </c>
      <c r="B59" s="76">
        <v>5</v>
      </c>
      <c r="C59" s="2">
        <v>2017</v>
      </c>
      <c r="E59" s="2" t="s">
        <v>215</v>
      </c>
      <c r="F59" s="76">
        <v>7</v>
      </c>
      <c r="G59" s="2">
        <v>2017</v>
      </c>
      <c r="H59" s="2"/>
      <c r="I59" s="2"/>
      <c r="J59" s="3"/>
      <c r="U59" s="2" t="s">
        <v>238</v>
      </c>
      <c r="V59" s="76">
        <v>3</v>
      </c>
      <c r="AG59" s="2" t="s">
        <v>238</v>
      </c>
      <c r="AH59" s="76">
        <v>3</v>
      </c>
    </row>
    <row r="60" spans="1:34" x14ac:dyDescent="0.25">
      <c r="A60" s="2" t="s">
        <v>238</v>
      </c>
      <c r="B60" s="76">
        <v>5</v>
      </c>
      <c r="C60" s="3">
        <v>2016</v>
      </c>
      <c r="E60" s="2" t="s">
        <v>238</v>
      </c>
      <c r="F60" s="76">
        <v>7</v>
      </c>
      <c r="G60" s="2"/>
      <c r="H60" s="2"/>
      <c r="I60" s="2"/>
      <c r="J60" s="3"/>
      <c r="U60" s="2" t="s">
        <v>238</v>
      </c>
      <c r="V60" s="76">
        <v>3</v>
      </c>
      <c r="AG60" s="2" t="s">
        <v>238</v>
      </c>
      <c r="AH60" s="76">
        <v>5</v>
      </c>
    </row>
    <row r="61" spans="1:34" x14ac:dyDescent="0.25">
      <c r="A61" s="2" t="s">
        <v>238</v>
      </c>
      <c r="B61" s="76">
        <v>5</v>
      </c>
      <c r="C61" s="2">
        <v>2016</v>
      </c>
      <c r="E61" s="2" t="s">
        <v>238</v>
      </c>
      <c r="F61" s="76">
        <v>8</v>
      </c>
      <c r="G61" s="2">
        <v>2016</v>
      </c>
      <c r="H61" s="2"/>
      <c r="I61" s="2"/>
      <c r="J61" s="3"/>
      <c r="U61" s="2" t="s">
        <v>238</v>
      </c>
      <c r="V61" s="76">
        <v>4</v>
      </c>
      <c r="AG61" s="2" t="s">
        <v>238</v>
      </c>
      <c r="AH61" s="76">
        <v>6</v>
      </c>
    </row>
    <row r="62" spans="1:34" x14ac:dyDescent="0.25">
      <c r="A62" s="2" t="s">
        <v>236</v>
      </c>
      <c r="B62" s="76">
        <v>6</v>
      </c>
      <c r="C62" s="2">
        <v>2016</v>
      </c>
      <c r="E62" s="2" t="s">
        <v>238</v>
      </c>
      <c r="F62" s="76">
        <v>8</v>
      </c>
      <c r="G62" s="2">
        <v>2017</v>
      </c>
      <c r="H62" s="2"/>
      <c r="I62" s="2"/>
      <c r="J62" s="3"/>
      <c r="U62" s="2" t="s">
        <v>238</v>
      </c>
      <c r="V62" s="76">
        <v>5</v>
      </c>
      <c r="AG62" s="2" t="s">
        <v>238</v>
      </c>
      <c r="AH62" s="76">
        <v>6</v>
      </c>
    </row>
    <row r="63" spans="1:34" x14ac:dyDescent="0.25">
      <c r="A63" s="3" t="s">
        <v>238</v>
      </c>
      <c r="B63" s="77">
        <v>6</v>
      </c>
      <c r="C63" s="3">
        <v>2016</v>
      </c>
      <c r="E63" s="2" t="s">
        <v>236</v>
      </c>
      <c r="F63" s="76">
        <v>10</v>
      </c>
      <c r="G63" s="2">
        <v>2016</v>
      </c>
      <c r="H63" s="2"/>
      <c r="I63" s="2"/>
      <c r="J63" s="2"/>
      <c r="U63" s="2" t="s">
        <v>238</v>
      </c>
      <c r="V63" s="76">
        <v>5</v>
      </c>
      <c r="AG63" s="2" t="s">
        <v>238</v>
      </c>
      <c r="AH63" s="76">
        <v>6</v>
      </c>
    </row>
    <row r="64" spans="1:34" x14ac:dyDescent="0.25">
      <c r="A64" s="2" t="s">
        <v>238</v>
      </c>
      <c r="B64" s="76">
        <v>6.5</v>
      </c>
      <c r="C64" s="3"/>
      <c r="E64" s="2" t="s">
        <v>236</v>
      </c>
      <c r="F64" s="76">
        <v>10</v>
      </c>
      <c r="G64" s="2">
        <v>2017</v>
      </c>
      <c r="H64" s="2"/>
      <c r="I64" s="2"/>
      <c r="J64" s="2"/>
      <c r="U64" s="2" t="s">
        <v>238</v>
      </c>
      <c r="V64" s="76">
        <v>5</v>
      </c>
      <c r="AG64" s="2" t="s">
        <v>238</v>
      </c>
      <c r="AH64" s="76">
        <v>7</v>
      </c>
    </row>
    <row r="65" spans="1:34" x14ac:dyDescent="0.25">
      <c r="A65" s="2" t="s">
        <v>236</v>
      </c>
      <c r="B65" s="76">
        <v>7</v>
      </c>
      <c r="C65" s="2">
        <v>2017</v>
      </c>
      <c r="E65" s="2" t="s">
        <v>238</v>
      </c>
      <c r="F65" s="76">
        <v>10</v>
      </c>
      <c r="G65" s="2">
        <v>2017</v>
      </c>
      <c r="H65" s="2"/>
      <c r="I65" s="2"/>
      <c r="J65" s="2"/>
      <c r="U65" s="3" t="s">
        <v>238</v>
      </c>
      <c r="V65" s="77">
        <v>6</v>
      </c>
      <c r="AG65" s="2" t="s">
        <v>238</v>
      </c>
      <c r="AH65" s="76">
        <v>8</v>
      </c>
    </row>
    <row r="66" spans="1:34" x14ac:dyDescent="0.25">
      <c r="A66" s="2" t="s">
        <v>237</v>
      </c>
      <c r="B66" s="76">
        <v>7</v>
      </c>
      <c r="C66" s="2">
        <v>2016</v>
      </c>
      <c r="E66" s="2" t="s">
        <v>215</v>
      </c>
      <c r="F66" s="76">
        <v>10</v>
      </c>
      <c r="G66" s="2"/>
      <c r="H66" s="3"/>
      <c r="I66" s="3"/>
      <c r="J66" s="3"/>
      <c r="U66" s="2" t="s">
        <v>238</v>
      </c>
      <c r="V66" s="76">
        <v>6.5</v>
      </c>
      <c r="AG66" s="2" t="s">
        <v>238</v>
      </c>
      <c r="AH66" s="76">
        <v>8</v>
      </c>
    </row>
    <row r="67" spans="1:34" x14ac:dyDescent="0.25">
      <c r="A67" s="2" t="s">
        <v>236</v>
      </c>
      <c r="B67" s="76">
        <v>8</v>
      </c>
      <c r="C67" s="2">
        <v>2016</v>
      </c>
      <c r="E67" s="2" t="s">
        <v>238</v>
      </c>
      <c r="F67" s="76">
        <v>19</v>
      </c>
      <c r="G67" s="2">
        <v>2016</v>
      </c>
      <c r="H67" s="2"/>
      <c r="I67" s="2"/>
      <c r="J67" s="2"/>
      <c r="AG67" s="2" t="s">
        <v>238</v>
      </c>
      <c r="AH67" s="76">
        <v>10</v>
      </c>
    </row>
    <row r="68" spans="1:34" x14ac:dyDescent="0.25">
      <c r="A68" s="2" t="s">
        <v>215</v>
      </c>
      <c r="B68" s="76">
        <v>10</v>
      </c>
      <c r="C68" s="2">
        <v>2016</v>
      </c>
      <c r="E68" s="2" t="s">
        <v>236</v>
      </c>
      <c r="F68" s="76">
        <v>25</v>
      </c>
      <c r="G68" s="2">
        <v>2017</v>
      </c>
      <c r="H68" s="3"/>
      <c r="I68" s="3"/>
      <c r="J68" s="3"/>
      <c r="V68" s="25">
        <f>SUM(V32:V67)</f>
        <v>59</v>
      </c>
      <c r="AG68" s="2" t="s">
        <v>238</v>
      </c>
      <c r="AH68" s="76">
        <v>19</v>
      </c>
    </row>
    <row r="69" spans="1:34" x14ac:dyDescent="0.25">
      <c r="A69" s="2" t="s">
        <v>215</v>
      </c>
      <c r="B69" s="76">
        <v>10</v>
      </c>
      <c r="C69" s="2">
        <v>2016</v>
      </c>
      <c r="E69" s="2" t="s">
        <v>236</v>
      </c>
      <c r="F69" s="76">
        <v>25</v>
      </c>
      <c r="G69" s="2">
        <v>2017</v>
      </c>
      <c r="H69" s="2"/>
      <c r="I69" s="2"/>
      <c r="J69" s="2"/>
    </row>
    <row r="70" spans="1:34" x14ac:dyDescent="0.25">
      <c r="A70" s="2" t="s">
        <v>236</v>
      </c>
      <c r="B70" s="77">
        <v>13</v>
      </c>
      <c r="C70" s="3">
        <v>2016</v>
      </c>
      <c r="E70" s="2" t="s">
        <v>236</v>
      </c>
      <c r="F70" s="77">
        <v>46</v>
      </c>
      <c r="G70" s="3">
        <v>2016</v>
      </c>
      <c r="H70" s="2"/>
      <c r="I70" s="2"/>
      <c r="J70" s="2"/>
      <c r="AH70" s="25">
        <f>SUM(AH32:AH69)</f>
        <v>103.1</v>
      </c>
    </row>
    <row r="71" spans="1:34" x14ac:dyDescent="0.25">
      <c r="A71" s="2" t="s">
        <v>236</v>
      </c>
      <c r="B71" s="76">
        <v>16</v>
      </c>
      <c r="C71" s="2">
        <v>2017</v>
      </c>
      <c r="E71" s="2" t="s">
        <v>236</v>
      </c>
      <c r="F71" s="76">
        <v>60</v>
      </c>
      <c r="G71" s="2">
        <v>2017</v>
      </c>
      <c r="H71" s="2"/>
      <c r="I71" s="2"/>
      <c r="J71" s="2"/>
    </row>
    <row r="72" spans="1:34" x14ac:dyDescent="0.25">
      <c r="A72" s="2" t="s">
        <v>215</v>
      </c>
      <c r="B72" s="76">
        <v>34</v>
      </c>
      <c r="C72" s="2">
        <v>2017</v>
      </c>
      <c r="E72" s="2"/>
      <c r="F72" s="2"/>
      <c r="G72" s="2"/>
      <c r="H72" s="3"/>
      <c r="I72" s="3"/>
      <c r="J72" s="3"/>
    </row>
    <row r="73" spans="1:34" x14ac:dyDescent="0.25">
      <c r="A73" s="2" t="s">
        <v>236</v>
      </c>
      <c r="B73" s="77">
        <v>50</v>
      </c>
      <c r="C73" s="3">
        <v>2016</v>
      </c>
      <c r="E73" s="2"/>
      <c r="F73" s="25">
        <f>SUM(F6:F72)</f>
        <v>329.7</v>
      </c>
      <c r="G73" s="2"/>
      <c r="H73" s="2"/>
      <c r="I73" s="2"/>
      <c r="J73" s="2"/>
    </row>
    <row r="74" spans="1:34" x14ac:dyDescent="0.25">
      <c r="F74" s="19" t="s">
        <v>573</v>
      </c>
    </row>
    <row r="75" spans="1:34" x14ac:dyDescent="0.25">
      <c r="A75" s="2"/>
      <c r="B75" s="25">
        <f>SUM(B3:B74)</f>
        <v>255.78</v>
      </c>
      <c r="C75" s="2"/>
      <c r="E75" s="2"/>
      <c r="F75" s="2"/>
      <c r="G75" s="2"/>
      <c r="H75" s="2"/>
      <c r="I75" s="2"/>
      <c r="J75" s="2"/>
    </row>
    <row r="76" spans="1:34" x14ac:dyDescent="0.25">
      <c r="A76" s="2"/>
      <c r="B76" s="19" t="s">
        <v>469</v>
      </c>
      <c r="C76" s="3"/>
      <c r="E76" s="2"/>
      <c r="F76" s="2"/>
      <c r="G76" s="2"/>
      <c r="H76" s="2"/>
      <c r="I76" s="2"/>
      <c r="J76" s="2"/>
    </row>
    <row r="77" spans="1:34" x14ac:dyDescent="0.25">
      <c r="A77" s="3"/>
      <c r="C77" s="3"/>
      <c r="E77" s="2"/>
      <c r="F77" s="2"/>
      <c r="G77" s="2"/>
      <c r="H77" s="2"/>
      <c r="I77" s="2"/>
      <c r="J77" s="2"/>
    </row>
    <row r="78" spans="1:34" x14ac:dyDescent="0.25">
      <c r="A78" s="15" t="s">
        <v>576</v>
      </c>
      <c r="B78" s="2"/>
      <c r="C78" s="2"/>
      <c r="E78" s="2"/>
      <c r="F78" s="2"/>
      <c r="G78" s="2"/>
    </row>
    <row r="79" spans="1:34" x14ac:dyDescent="0.25">
      <c r="A79" s="2" t="s">
        <v>237</v>
      </c>
      <c r="B79" s="76">
        <v>250</v>
      </c>
      <c r="C79" s="2">
        <v>2016</v>
      </c>
      <c r="E79" s="2"/>
      <c r="G79" s="2"/>
      <c r="H79" s="2"/>
      <c r="I79" s="2"/>
      <c r="J79" s="2"/>
    </row>
    <row r="80" spans="1:34" x14ac:dyDescent="0.25">
      <c r="A80" s="2"/>
      <c r="B80" s="2"/>
      <c r="C80" s="2"/>
      <c r="E80" s="3"/>
      <c r="F80" s="3"/>
      <c r="G80" s="3"/>
      <c r="I80" s="19"/>
    </row>
    <row r="81" spans="1:7" x14ac:dyDescent="0.25">
      <c r="A81" s="2"/>
      <c r="B81" s="2"/>
      <c r="C81" s="2"/>
      <c r="E81" s="2"/>
      <c r="F81" s="2"/>
      <c r="G81" s="2"/>
    </row>
    <row r="82" spans="1:7" x14ac:dyDescent="0.25">
      <c r="A82" s="2"/>
      <c r="B82" s="2"/>
      <c r="C82" s="2"/>
      <c r="E82" s="2"/>
      <c r="F82" s="2"/>
      <c r="G82" s="2"/>
    </row>
    <row r="83" spans="1:7" x14ac:dyDescent="0.25">
      <c r="A83" s="2"/>
      <c r="B83" s="2"/>
      <c r="C83" s="2"/>
      <c r="E83" s="2"/>
      <c r="F83" s="2"/>
      <c r="G83" s="2"/>
    </row>
    <row r="84" spans="1:7" x14ac:dyDescent="0.25">
      <c r="A84" s="2"/>
      <c r="B84" s="2"/>
      <c r="C84" s="2"/>
      <c r="E84" s="2"/>
      <c r="F84" s="3"/>
      <c r="G84" s="3"/>
    </row>
    <row r="85" spans="1:7" x14ac:dyDescent="0.25">
      <c r="A85" s="2"/>
      <c r="B85" s="2"/>
      <c r="C85" s="2"/>
      <c r="E85" s="2"/>
      <c r="F85" s="2"/>
      <c r="G85" s="2"/>
    </row>
    <row r="86" spans="1:7" x14ac:dyDescent="0.25">
      <c r="A86" s="2"/>
      <c r="B86" s="2"/>
      <c r="C86" s="2"/>
      <c r="E86" s="2"/>
      <c r="F86" s="2"/>
      <c r="G86" s="2"/>
    </row>
    <row r="87" spans="1:7" x14ac:dyDescent="0.25">
      <c r="A87" s="2"/>
      <c r="B87" s="2"/>
      <c r="C87" s="2"/>
      <c r="E87" s="3"/>
      <c r="F87" s="3"/>
      <c r="G87" s="3"/>
    </row>
    <row r="88" spans="1:7" x14ac:dyDescent="0.25">
      <c r="A88" s="2"/>
      <c r="B88" s="2"/>
      <c r="C88" s="2"/>
      <c r="E88" s="2"/>
      <c r="F88" s="2"/>
      <c r="G88" s="2"/>
    </row>
    <row r="89" spans="1:7" x14ac:dyDescent="0.25">
      <c r="A89" s="2"/>
      <c r="B89" s="2"/>
      <c r="C89" s="2"/>
      <c r="E89" s="2"/>
      <c r="F89" s="2"/>
      <c r="G89" s="2"/>
    </row>
    <row r="90" spans="1:7" x14ac:dyDescent="0.25">
      <c r="A90" s="2"/>
      <c r="B90" s="2"/>
      <c r="C90" s="2"/>
      <c r="E90" s="2"/>
      <c r="F90" s="2"/>
      <c r="G90" s="2"/>
    </row>
    <row r="91" spans="1:7" x14ac:dyDescent="0.25">
      <c r="A91" s="2"/>
      <c r="B91" s="2"/>
      <c r="C91" s="2"/>
      <c r="E91" s="2"/>
      <c r="F91" s="2"/>
      <c r="G91" s="2"/>
    </row>
    <row r="92" spans="1:7" x14ac:dyDescent="0.25">
      <c r="A92" s="2"/>
      <c r="B92" s="2"/>
      <c r="C92" s="2"/>
      <c r="E92" s="2"/>
      <c r="F92" s="2"/>
      <c r="G92" s="2"/>
    </row>
    <row r="93" spans="1:7" x14ac:dyDescent="0.25">
      <c r="A93" s="2"/>
      <c r="B93" s="2"/>
      <c r="C93" s="2"/>
      <c r="E93" s="2"/>
      <c r="F93" s="2"/>
      <c r="G93" s="2"/>
    </row>
    <row r="94" spans="1:7" x14ac:dyDescent="0.25">
      <c r="A94" s="2"/>
      <c r="B94" s="2"/>
      <c r="C94" s="2"/>
      <c r="E94" s="2"/>
      <c r="F94" s="2"/>
      <c r="G94" s="2"/>
    </row>
    <row r="95" spans="1:7" x14ac:dyDescent="0.25">
      <c r="A95" s="2"/>
      <c r="B95" s="2"/>
      <c r="C95" s="2"/>
      <c r="E95" s="2"/>
      <c r="F95" s="2"/>
      <c r="G95" s="2"/>
    </row>
    <row r="96" spans="1:7" x14ac:dyDescent="0.25">
      <c r="A96" s="2"/>
      <c r="B96" s="2"/>
      <c r="C96" s="2"/>
      <c r="E96" s="2"/>
      <c r="F96" s="3"/>
      <c r="G96" s="3"/>
    </row>
    <row r="97" spans="1:7" x14ac:dyDescent="0.25">
      <c r="A97" s="2"/>
      <c r="B97" s="2"/>
      <c r="C97" s="2"/>
      <c r="E97" s="2"/>
      <c r="F97" s="2"/>
      <c r="G97" s="2"/>
    </row>
    <row r="98" spans="1:7" x14ac:dyDescent="0.25">
      <c r="A98" s="2"/>
      <c r="B98" s="2"/>
      <c r="C98" s="2"/>
      <c r="E98" s="2"/>
      <c r="F98" s="2"/>
      <c r="G98" s="2"/>
    </row>
    <row r="99" spans="1:7" x14ac:dyDescent="0.25">
      <c r="A99" s="2"/>
      <c r="B99" s="2"/>
      <c r="C99" s="2"/>
      <c r="E99" s="2"/>
      <c r="F99" s="2"/>
      <c r="G99" s="2"/>
    </row>
    <row r="100" spans="1:7" x14ac:dyDescent="0.25">
      <c r="A100" s="2"/>
      <c r="B100" s="2"/>
      <c r="C100" s="2"/>
      <c r="E100" s="2"/>
      <c r="F100" s="2"/>
      <c r="G100" s="2"/>
    </row>
    <row r="101" spans="1:7" x14ac:dyDescent="0.25">
      <c r="A101" s="2"/>
      <c r="B101" s="2"/>
      <c r="C101" s="2"/>
      <c r="E101" s="2"/>
      <c r="F101" s="2"/>
      <c r="G101" s="2"/>
    </row>
    <row r="102" spans="1:7" x14ac:dyDescent="0.25">
      <c r="A102" s="2"/>
      <c r="B102" s="2"/>
      <c r="C102" s="2"/>
      <c r="E102" s="2"/>
      <c r="F102" s="2"/>
      <c r="G102" s="2"/>
    </row>
    <row r="103" spans="1:7" x14ac:dyDescent="0.25">
      <c r="A103" s="2"/>
      <c r="B103" s="2"/>
      <c r="C103" s="2"/>
      <c r="E103" s="2"/>
      <c r="F103" s="2"/>
      <c r="G103" s="2"/>
    </row>
    <row r="104" spans="1:7" x14ac:dyDescent="0.25">
      <c r="A104" s="2"/>
      <c r="B104" s="2"/>
      <c r="C104" s="2"/>
      <c r="E104" s="2"/>
      <c r="F104" s="2"/>
      <c r="G104" s="2"/>
    </row>
    <row r="105" spans="1:7" x14ac:dyDescent="0.25">
      <c r="A105" s="2"/>
      <c r="B105" s="2"/>
      <c r="C105" s="2"/>
      <c r="E105" s="2"/>
      <c r="F105" s="2"/>
      <c r="G105" s="2"/>
    </row>
    <row r="106" spans="1:7" x14ac:dyDescent="0.25">
      <c r="A106" s="2"/>
      <c r="B106" s="2"/>
      <c r="C106" s="2"/>
      <c r="E106" s="2"/>
      <c r="F106" s="2"/>
      <c r="G106" s="2"/>
    </row>
    <row r="107" spans="1:7" x14ac:dyDescent="0.25">
      <c r="A107" s="2"/>
      <c r="B107" s="2"/>
      <c r="C107" s="2"/>
      <c r="E107" s="2"/>
      <c r="F107" s="2"/>
      <c r="G107" s="2"/>
    </row>
    <row r="108" spans="1:7" x14ac:dyDescent="0.25">
      <c r="A108" s="2"/>
      <c r="B108" s="2"/>
      <c r="C108" s="2"/>
      <c r="E108" s="2"/>
      <c r="F108" s="2"/>
      <c r="G108" s="2"/>
    </row>
    <row r="109" spans="1:7" x14ac:dyDescent="0.25">
      <c r="A109" s="2"/>
      <c r="B109" s="2"/>
      <c r="C109" s="2"/>
      <c r="E109" s="2"/>
      <c r="F109" s="2"/>
      <c r="G109" s="2"/>
    </row>
    <row r="110" spans="1:7" x14ac:dyDescent="0.25">
      <c r="A110" s="2"/>
      <c r="B110" s="2"/>
      <c r="C110" s="2"/>
      <c r="E110" s="2"/>
      <c r="F110" s="2"/>
      <c r="G110" s="2"/>
    </row>
    <row r="111" spans="1:7" x14ac:dyDescent="0.25">
      <c r="A111" s="2"/>
      <c r="B111" s="2"/>
      <c r="C111" s="2"/>
      <c r="E111" s="2"/>
      <c r="F111" s="2"/>
      <c r="G111" s="2"/>
    </row>
    <row r="112" spans="1:7" x14ac:dyDescent="0.25">
      <c r="A112" s="2"/>
      <c r="B112" s="2"/>
      <c r="C112" s="2"/>
      <c r="E112" s="2"/>
      <c r="F112" s="2"/>
      <c r="G112" s="2"/>
    </row>
    <row r="113" spans="1:7" x14ac:dyDescent="0.25">
      <c r="A113" s="2"/>
      <c r="B113" s="2"/>
      <c r="C113" s="2"/>
      <c r="E113" s="2"/>
      <c r="F113" s="2"/>
      <c r="G113" s="2"/>
    </row>
    <row r="114" spans="1:7" x14ac:dyDescent="0.25">
      <c r="A114" s="2"/>
      <c r="B114" s="2"/>
      <c r="C114" s="2"/>
      <c r="E114" s="2"/>
      <c r="F114" s="2"/>
      <c r="G114" s="2"/>
    </row>
    <row r="115" spans="1:7" x14ac:dyDescent="0.25">
      <c r="A115" s="2"/>
      <c r="B115" s="2"/>
      <c r="C115" s="2"/>
      <c r="E115" s="2"/>
      <c r="F115" s="2"/>
      <c r="G115" s="2"/>
    </row>
    <row r="116" spans="1:7" x14ac:dyDescent="0.25">
      <c r="A116" s="2"/>
      <c r="B116" s="2"/>
      <c r="C116" s="2"/>
      <c r="E116" s="2"/>
      <c r="F116" s="2"/>
      <c r="G116" s="2"/>
    </row>
    <row r="117" spans="1:7" x14ac:dyDescent="0.25">
      <c r="A117" s="2"/>
      <c r="B117" s="2"/>
      <c r="C117" s="2"/>
      <c r="E117" s="2"/>
      <c r="F117" s="2"/>
      <c r="G117" s="2"/>
    </row>
    <row r="118" spans="1:7" x14ac:dyDescent="0.25">
      <c r="A118" s="2"/>
      <c r="B118" s="2"/>
      <c r="C118" s="2"/>
      <c r="E118" s="2"/>
      <c r="F118" s="2"/>
      <c r="G118" s="2"/>
    </row>
    <row r="119" spans="1:7" x14ac:dyDescent="0.25">
      <c r="A119" s="2"/>
      <c r="B119" s="2"/>
      <c r="C119" s="2"/>
      <c r="E119" s="2"/>
      <c r="F119" s="2"/>
      <c r="G119" s="2"/>
    </row>
    <row r="120" spans="1:7" x14ac:dyDescent="0.25">
      <c r="A120" s="2"/>
      <c r="B120" s="2"/>
      <c r="C120" s="2"/>
      <c r="E120" s="2"/>
      <c r="F120" s="2"/>
      <c r="G120" s="2"/>
    </row>
    <row r="121" spans="1:7" x14ac:dyDescent="0.25">
      <c r="A121" s="2"/>
      <c r="B121" s="2"/>
      <c r="C121" s="2"/>
      <c r="E121" s="2"/>
      <c r="F121" s="2"/>
      <c r="G121" s="2"/>
    </row>
    <row r="122" spans="1:7" x14ac:dyDescent="0.25">
      <c r="A122" s="2"/>
      <c r="B122" s="2"/>
      <c r="C122" s="2"/>
      <c r="E122" s="2"/>
      <c r="F122" s="2"/>
      <c r="G122" s="2"/>
    </row>
    <row r="123" spans="1:7" x14ac:dyDescent="0.25">
      <c r="A123" s="2"/>
      <c r="B123" s="2"/>
      <c r="C123" s="2"/>
      <c r="E123" s="2"/>
      <c r="F123" s="2"/>
      <c r="G123" s="2"/>
    </row>
    <row r="124" spans="1:7" x14ac:dyDescent="0.25">
      <c r="A124" s="2"/>
      <c r="B124" s="2"/>
      <c r="C124" s="2"/>
      <c r="E124" s="2"/>
      <c r="F124" s="2"/>
      <c r="G124" s="2"/>
    </row>
    <row r="125" spans="1:7" x14ac:dyDescent="0.25">
      <c r="A125" s="2"/>
      <c r="B125" s="2"/>
      <c r="C125" s="2"/>
      <c r="E125" s="2"/>
      <c r="F125" s="2"/>
      <c r="G125" s="2"/>
    </row>
    <row r="126" spans="1:7" x14ac:dyDescent="0.25">
      <c r="A126" s="2"/>
      <c r="B126" s="2"/>
      <c r="C126" s="2"/>
      <c r="E126" s="2"/>
      <c r="F126" s="2"/>
      <c r="G126" s="2"/>
    </row>
    <row r="127" spans="1:7" x14ac:dyDescent="0.25">
      <c r="A127" s="2"/>
      <c r="B127" s="2"/>
      <c r="C127" s="2"/>
      <c r="E127" s="2"/>
      <c r="F127" s="2"/>
      <c r="G127" s="2"/>
    </row>
    <row r="128" spans="1:7" x14ac:dyDescent="0.25">
      <c r="A128" s="2"/>
      <c r="B128" s="2"/>
      <c r="C128" s="2"/>
      <c r="E128" s="2"/>
      <c r="F128" s="2"/>
      <c r="G128" s="2"/>
    </row>
    <row r="129" spans="1:7" x14ac:dyDescent="0.25">
      <c r="A129" s="2"/>
      <c r="B129" s="2"/>
      <c r="C129" s="2"/>
      <c r="E129" s="2"/>
      <c r="F129" s="2"/>
      <c r="G129" s="2"/>
    </row>
    <row r="130" spans="1:7" x14ac:dyDescent="0.25">
      <c r="A130" s="2"/>
      <c r="B130" s="2"/>
      <c r="C130" s="2"/>
      <c r="E130" s="2"/>
      <c r="F130" s="2"/>
      <c r="G130" s="2"/>
    </row>
    <row r="131" spans="1:7" x14ac:dyDescent="0.25">
      <c r="A131" s="2"/>
      <c r="B131" s="2"/>
      <c r="C131" s="2"/>
      <c r="E131" s="2"/>
      <c r="F131" s="2"/>
      <c r="G131" s="2"/>
    </row>
    <row r="132" spans="1:7" x14ac:dyDescent="0.25">
      <c r="A132" s="2"/>
      <c r="B132" s="2"/>
      <c r="C132" s="2"/>
      <c r="E132" s="2"/>
      <c r="F132" s="2"/>
      <c r="G132" s="2"/>
    </row>
    <row r="133" spans="1:7" x14ac:dyDescent="0.25">
      <c r="A133" s="2"/>
      <c r="B133" s="2"/>
      <c r="C133" s="2"/>
      <c r="E133" s="2"/>
      <c r="F133" s="2"/>
      <c r="G133" s="2"/>
    </row>
    <row r="134" spans="1:7" x14ac:dyDescent="0.25">
      <c r="A134" s="2"/>
      <c r="B134" s="2"/>
      <c r="C134" s="2"/>
      <c r="E134" s="2"/>
      <c r="F134" s="2"/>
      <c r="G134" s="2"/>
    </row>
    <row r="135" spans="1:7" x14ac:dyDescent="0.25">
      <c r="A135" s="2"/>
      <c r="B135" s="2"/>
      <c r="C135" s="2"/>
      <c r="E135" s="2"/>
      <c r="F135" s="2"/>
      <c r="G135" s="2"/>
    </row>
    <row r="136" spans="1:7" x14ac:dyDescent="0.25">
      <c r="A136" s="2"/>
      <c r="B136" s="2"/>
      <c r="C136" s="2"/>
      <c r="E136" s="2"/>
      <c r="F136" s="2"/>
      <c r="G136" s="2"/>
    </row>
    <row r="137" spans="1:7" x14ac:dyDescent="0.25">
      <c r="A137" s="2"/>
      <c r="B137" s="2"/>
      <c r="C137" s="2"/>
      <c r="E137" s="2"/>
      <c r="F137" s="2"/>
      <c r="G137" s="2"/>
    </row>
    <row r="138" spans="1:7" x14ac:dyDescent="0.25">
      <c r="A138" s="2"/>
      <c r="B138" s="2"/>
      <c r="C138" s="2"/>
      <c r="E138" s="2"/>
      <c r="F138" s="2"/>
      <c r="G138" s="2"/>
    </row>
    <row r="139" spans="1:7" x14ac:dyDescent="0.25">
      <c r="A139" s="2"/>
      <c r="B139" s="2"/>
      <c r="C139" s="2"/>
      <c r="E139" s="2"/>
      <c r="F139" s="2"/>
      <c r="G139" s="2"/>
    </row>
    <row r="140" spans="1:7" x14ac:dyDescent="0.25">
      <c r="A140" s="2"/>
      <c r="B140" s="2"/>
      <c r="C140" s="2"/>
      <c r="E140" s="2"/>
      <c r="F140" s="2"/>
      <c r="G140" s="2"/>
    </row>
    <row r="141" spans="1:7" x14ac:dyDescent="0.25">
      <c r="A141" s="2"/>
      <c r="B141" s="2"/>
      <c r="C141" s="2"/>
      <c r="E141" s="2"/>
      <c r="F141" s="2"/>
      <c r="G141" s="2"/>
    </row>
    <row r="142" spans="1:7" x14ac:dyDescent="0.25">
      <c r="A142" s="2"/>
      <c r="B142" s="2"/>
      <c r="C142" s="2"/>
      <c r="E142" s="2"/>
      <c r="F142" s="2"/>
      <c r="G142" s="2"/>
    </row>
    <row r="143" spans="1:7" x14ac:dyDescent="0.25">
      <c r="A143" s="2"/>
      <c r="B143" s="2"/>
      <c r="C143" s="2"/>
      <c r="E143" s="2"/>
      <c r="F143" s="2"/>
      <c r="G143" s="2"/>
    </row>
    <row r="144" spans="1:7" x14ac:dyDescent="0.25">
      <c r="A144" s="2"/>
      <c r="B144" s="2"/>
      <c r="C144" s="2"/>
      <c r="E144" s="2"/>
      <c r="F144" s="2"/>
      <c r="G144" s="2"/>
    </row>
    <row r="145" spans="1:7" x14ac:dyDescent="0.25">
      <c r="A145" s="2"/>
      <c r="B145" s="2"/>
      <c r="C145" s="2"/>
      <c r="E145" s="2"/>
      <c r="F145" s="2"/>
      <c r="G145" s="2"/>
    </row>
    <row r="146" spans="1:7" x14ac:dyDescent="0.25">
      <c r="A146" s="2"/>
      <c r="B146" s="2"/>
      <c r="C146" s="2"/>
      <c r="E146" s="2"/>
      <c r="F146" s="2"/>
      <c r="G146" s="2"/>
    </row>
    <row r="147" spans="1:7" x14ac:dyDescent="0.25">
      <c r="A147" s="2"/>
      <c r="B147" s="2"/>
      <c r="C147" s="2"/>
      <c r="E147" s="2"/>
      <c r="F147" s="2"/>
      <c r="G147" s="2"/>
    </row>
    <row r="148" spans="1:7" x14ac:dyDescent="0.25">
      <c r="A148" s="3"/>
      <c r="B148" s="3"/>
      <c r="C148" s="3"/>
      <c r="E148" s="2"/>
      <c r="F148" s="2"/>
      <c r="G148" s="2"/>
    </row>
    <row r="149" spans="1:7" x14ac:dyDescent="0.25">
      <c r="A149" s="2"/>
      <c r="B149" s="2"/>
      <c r="C149" s="2"/>
      <c r="E149" s="2"/>
      <c r="F149" s="2"/>
      <c r="G149" s="2"/>
    </row>
    <row r="150" spans="1:7" x14ac:dyDescent="0.25">
      <c r="A150" s="2"/>
      <c r="B150" s="2"/>
      <c r="C150" s="2"/>
      <c r="E150" s="2"/>
      <c r="F150" s="2"/>
      <c r="G150" s="2"/>
    </row>
    <row r="151" spans="1:7" x14ac:dyDescent="0.25">
      <c r="A151" s="2"/>
      <c r="B151" s="2"/>
      <c r="C151" s="2"/>
      <c r="E151" s="43"/>
      <c r="F151" s="2"/>
      <c r="G151" s="2"/>
    </row>
    <row r="152" spans="1:7" x14ac:dyDescent="0.25">
      <c r="A152" s="2"/>
      <c r="B152" s="2"/>
      <c r="C152" s="2"/>
      <c r="E152" s="2"/>
      <c r="F152" s="2"/>
      <c r="G152" s="2"/>
    </row>
    <row r="153" spans="1:7" x14ac:dyDescent="0.25">
      <c r="A153" s="2"/>
      <c r="B153" s="2"/>
      <c r="C153" s="2"/>
      <c r="E153" s="2"/>
      <c r="F153" s="2"/>
      <c r="G153" s="2"/>
    </row>
  </sheetData>
  <sortState ref="AA32:AB97">
    <sortCondition ref="AA32:AA97"/>
    <sortCondition ref="AB32:AB97"/>
  </sortState>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0"/>
  <sheetViews>
    <sheetView workbookViewId="0"/>
  </sheetViews>
  <sheetFormatPr defaultRowHeight="15" x14ac:dyDescent="0.25"/>
  <cols>
    <col min="1" max="1" width="13.5703125" customWidth="1"/>
    <col min="12" max="12" width="51.28515625" bestFit="1" customWidth="1"/>
    <col min="14" max="14" width="10.85546875" customWidth="1"/>
    <col min="15" max="15" width="7.7109375" customWidth="1"/>
    <col min="17" max="17" width="8.28515625" customWidth="1"/>
  </cols>
  <sheetData>
    <row r="1" spans="1:16" x14ac:dyDescent="0.25">
      <c r="A1" s="15" t="s">
        <v>497</v>
      </c>
    </row>
    <row r="3" spans="1:16" x14ac:dyDescent="0.25">
      <c r="L3" s="19" t="s">
        <v>526</v>
      </c>
    </row>
    <row r="4" spans="1:16" x14ac:dyDescent="0.25">
      <c r="A4" s="43"/>
      <c r="B4" s="43" t="s">
        <v>527</v>
      </c>
      <c r="C4" s="43" t="s">
        <v>528</v>
      </c>
      <c r="D4" s="43" t="s">
        <v>529</v>
      </c>
      <c r="E4" s="43" t="s">
        <v>530</v>
      </c>
      <c r="F4" s="43" t="s">
        <v>531</v>
      </c>
      <c r="G4" s="43" t="s">
        <v>532</v>
      </c>
      <c r="H4" s="43" t="s">
        <v>533</v>
      </c>
      <c r="I4" s="43" t="s">
        <v>498</v>
      </c>
      <c r="J4" s="43" t="s">
        <v>499</v>
      </c>
      <c r="K4" s="43"/>
      <c r="L4" s="43"/>
      <c r="M4" t="s">
        <v>592</v>
      </c>
      <c r="N4" s="78" t="s">
        <v>593</v>
      </c>
      <c r="O4">
        <v>2015</v>
      </c>
      <c r="P4">
        <v>2013</v>
      </c>
    </row>
    <row r="5" spans="1:16" x14ac:dyDescent="0.25">
      <c r="A5" s="2" t="s">
        <v>238</v>
      </c>
      <c r="B5" s="3" t="s">
        <v>111</v>
      </c>
      <c r="C5" s="3" t="s">
        <v>111</v>
      </c>
      <c r="D5" s="3" t="s">
        <v>111</v>
      </c>
      <c r="E5" s="3" t="s">
        <v>111</v>
      </c>
      <c r="F5" s="3" t="s">
        <v>111</v>
      </c>
      <c r="G5" s="3" t="s">
        <v>111</v>
      </c>
      <c r="H5" s="3" t="s">
        <v>111</v>
      </c>
      <c r="I5" s="3" t="s">
        <v>111</v>
      </c>
      <c r="J5" s="3"/>
      <c r="L5" s="43" t="s">
        <v>528</v>
      </c>
      <c r="M5" s="63">
        <f>1/72</f>
        <v>1.3888888888888888E-2</v>
      </c>
      <c r="N5" s="63">
        <v>0.02</v>
      </c>
      <c r="O5" s="64">
        <f>4/97</f>
        <v>4.1237113402061855E-2</v>
      </c>
      <c r="P5" s="63">
        <v>0.03</v>
      </c>
    </row>
    <row r="6" spans="1:16" x14ac:dyDescent="0.25">
      <c r="A6" s="2" t="s">
        <v>236</v>
      </c>
      <c r="B6" s="3" t="s">
        <v>109</v>
      </c>
      <c r="C6" s="3" t="s">
        <v>111</v>
      </c>
      <c r="D6" s="3" t="s">
        <v>111</v>
      </c>
      <c r="E6" s="3" t="s">
        <v>111</v>
      </c>
      <c r="F6" s="3" t="s">
        <v>111</v>
      </c>
      <c r="G6" s="3" t="s">
        <v>111</v>
      </c>
      <c r="H6" s="3" t="s">
        <v>111</v>
      </c>
      <c r="I6" s="3" t="s">
        <v>111</v>
      </c>
      <c r="J6" s="3"/>
      <c r="L6" s="43" t="s">
        <v>498</v>
      </c>
      <c r="M6" s="63">
        <f>2/72</f>
        <v>2.7777777777777776E-2</v>
      </c>
      <c r="N6" s="63">
        <v>0.04</v>
      </c>
      <c r="O6" s="64">
        <f>9/97</f>
        <v>9.2783505154639179E-2</v>
      </c>
      <c r="P6" s="63">
        <v>0.04</v>
      </c>
    </row>
    <row r="7" spans="1:16" x14ac:dyDescent="0.25">
      <c r="A7" s="2" t="s">
        <v>236</v>
      </c>
      <c r="B7" s="3" t="s">
        <v>109</v>
      </c>
      <c r="C7" s="3" t="s">
        <v>111</v>
      </c>
      <c r="D7" s="3" t="s">
        <v>111</v>
      </c>
      <c r="E7" s="3" t="s">
        <v>111</v>
      </c>
      <c r="F7" s="3" t="s">
        <v>111</v>
      </c>
      <c r="G7" s="3" t="s">
        <v>111</v>
      </c>
      <c r="H7" s="3" t="s">
        <v>111</v>
      </c>
      <c r="I7" s="3" t="s">
        <v>111</v>
      </c>
      <c r="J7" s="3"/>
      <c r="L7" s="43" t="s">
        <v>532</v>
      </c>
      <c r="M7" s="63">
        <f>6/72</f>
        <v>8.3333333333333329E-2</v>
      </c>
      <c r="N7" s="63">
        <v>0.06</v>
      </c>
      <c r="O7" s="64">
        <f>16/97</f>
        <v>0.16494845360824742</v>
      </c>
      <c r="P7" s="63">
        <v>0.09</v>
      </c>
    </row>
    <row r="8" spans="1:16" x14ac:dyDescent="0.25">
      <c r="A8" s="2" t="s">
        <v>236</v>
      </c>
      <c r="B8" s="3" t="s">
        <v>109</v>
      </c>
      <c r="C8" s="3" t="s">
        <v>111</v>
      </c>
      <c r="D8" s="3" t="s">
        <v>111</v>
      </c>
      <c r="E8" s="3" t="s">
        <v>111</v>
      </c>
      <c r="F8" s="3" t="s">
        <v>111</v>
      </c>
      <c r="G8" s="3" t="s">
        <v>111</v>
      </c>
      <c r="H8" s="3" t="s">
        <v>111</v>
      </c>
      <c r="I8" s="3" t="s">
        <v>111</v>
      </c>
      <c r="J8" s="3"/>
      <c r="L8" s="72" t="s">
        <v>569</v>
      </c>
      <c r="M8" s="63">
        <f>10/72</f>
        <v>0.1388888888888889</v>
      </c>
      <c r="N8" s="63">
        <v>0.1</v>
      </c>
      <c r="O8" s="64">
        <f>12/97</f>
        <v>0.12371134020618557</v>
      </c>
      <c r="P8" s="63">
        <v>0.13</v>
      </c>
    </row>
    <row r="9" spans="1:16" x14ac:dyDescent="0.25">
      <c r="A9" s="2" t="s">
        <v>236</v>
      </c>
      <c r="B9" s="3" t="s">
        <v>109</v>
      </c>
      <c r="C9" s="3" t="s">
        <v>111</v>
      </c>
      <c r="D9" s="3" t="s">
        <v>111</v>
      </c>
      <c r="E9" s="3" t="s">
        <v>111</v>
      </c>
      <c r="F9" s="3" t="s">
        <v>111</v>
      </c>
      <c r="G9" s="3" t="s">
        <v>111</v>
      </c>
      <c r="H9" s="3" t="s">
        <v>111</v>
      </c>
      <c r="I9" s="3" t="s">
        <v>111</v>
      </c>
      <c r="J9" s="3"/>
      <c r="L9" s="43" t="s">
        <v>531</v>
      </c>
      <c r="M9" s="63">
        <f>12/72</f>
        <v>0.16666666666666666</v>
      </c>
      <c r="N9" s="63">
        <v>0.11</v>
      </c>
      <c r="O9" s="64">
        <f>22/97</f>
        <v>0.22680412371134021</v>
      </c>
      <c r="P9" s="63">
        <v>0.15</v>
      </c>
    </row>
    <row r="10" spans="1:16" x14ac:dyDescent="0.25">
      <c r="A10" s="2" t="s">
        <v>236</v>
      </c>
      <c r="B10" s="3" t="s">
        <v>109</v>
      </c>
      <c r="C10" s="3" t="s">
        <v>111</v>
      </c>
      <c r="D10" s="3" t="s">
        <v>111</v>
      </c>
      <c r="E10" s="3" t="s">
        <v>111</v>
      </c>
      <c r="F10" s="3" t="s">
        <v>111</v>
      </c>
      <c r="G10" s="3" t="s">
        <v>111</v>
      </c>
      <c r="H10" s="3" t="s">
        <v>111</v>
      </c>
      <c r="I10" s="3" t="s">
        <v>111</v>
      </c>
      <c r="J10" s="3"/>
      <c r="L10" s="72" t="s">
        <v>570</v>
      </c>
      <c r="M10" s="63">
        <f>18/72</f>
        <v>0.25</v>
      </c>
      <c r="N10" s="63">
        <v>0.18</v>
      </c>
      <c r="O10" s="64">
        <f>25/97</f>
        <v>0.25773195876288657</v>
      </c>
      <c r="P10" s="63">
        <v>0.34</v>
      </c>
    </row>
    <row r="11" spans="1:16" x14ac:dyDescent="0.25">
      <c r="A11" s="2" t="s">
        <v>236</v>
      </c>
      <c r="B11" s="3" t="s">
        <v>109</v>
      </c>
      <c r="C11" s="3" t="s">
        <v>111</v>
      </c>
      <c r="D11" s="3" t="s">
        <v>111</v>
      </c>
      <c r="E11" s="3" t="s">
        <v>111</v>
      </c>
      <c r="F11" s="3" t="s">
        <v>111</v>
      </c>
      <c r="G11" s="3" t="s">
        <v>111</v>
      </c>
      <c r="H11" s="3" t="s">
        <v>111</v>
      </c>
      <c r="I11" s="3" t="s">
        <v>111</v>
      </c>
      <c r="J11" s="3"/>
      <c r="L11" s="72" t="s">
        <v>571</v>
      </c>
      <c r="M11" s="63">
        <f>23/72</f>
        <v>0.31944444444444442</v>
      </c>
      <c r="N11" s="63">
        <v>0.43</v>
      </c>
      <c r="O11" s="64">
        <f>24/97</f>
        <v>0.24742268041237114</v>
      </c>
      <c r="P11" s="63">
        <v>0.36</v>
      </c>
    </row>
    <row r="12" spans="1:16" x14ac:dyDescent="0.25">
      <c r="A12" s="2" t="s">
        <v>236</v>
      </c>
      <c r="B12" s="3" t="s">
        <v>109</v>
      </c>
      <c r="C12" s="3" t="s">
        <v>111</v>
      </c>
      <c r="D12" s="3" t="s">
        <v>111</v>
      </c>
      <c r="E12" s="3" t="s">
        <v>111</v>
      </c>
      <c r="F12" s="3" t="s">
        <v>111</v>
      </c>
      <c r="G12" s="3" t="s">
        <v>111</v>
      </c>
      <c r="H12" s="3" t="s">
        <v>111</v>
      </c>
      <c r="I12" s="3" t="s">
        <v>111</v>
      </c>
      <c r="J12" s="3"/>
      <c r="L12" s="43" t="s">
        <v>527</v>
      </c>
      <c r="M12" s="63">
        <f>65/72</f>
        <v>0.90277777777777779</v>
      </c>
      <c r="N12" s="63">
        <f>65/72</f>
        <v>0.90277777777777779</v>
      </c>
      <c r="O12" s="64">
        <f>92/97</f>
        <v>0.94845360824742264</v>
      </c>
      <c r="P12" s="63">
        <v>0.97</v>
      </c>
    </row>
    <row r="13" spans="1:16" x14ac:dyDescent="0.25">
      <c r="A13" s="2" t="s">
        <v>236</v>
      </c>
      <c r="B13" s="3" t="s">
        <v>109</v>
      </c>
      <c r="C13" s="3" t="s">
        <v>111</v>
      </c>
      <c r="D13" s="3" t="s">
        <v>111</v>
      </c>
      <c r="E13" s="3" t="s">
        <v>111</v>
      </c>
      <c r="F13" s="3" t="s">
        <v>111</v>
      </c>
      <c r="G13" s="3" t="s">
        <v>111</v>
      </c>
      <c r="H13" s="3" t="s">
        <v>111</v>
      </c>
      <c r="I13" s="3" t="s">
        <v>111</v>
      </c>
      <c r="J13" s="3"/>
      <c r="P13" s="43"/>
    </row>
    <row r="14" spans="1:16" x14ac:dyDescent="0.25">
      <c r="A14" s="2" t="s">
        <v>236</v>
      </c>
      <c r="B14" s="3" t="s">
        <v>109</v>
      </c>
      <c r="C14" s="3" t="s">
        <v>111</v>
      </c>
      <c r="D14" s="3" t="s">
        <v>111</v>
      </c>
      <c r="E14" s="3" t="s">
        <v>111</v>
      </c>
      <c r="F14" s="3" t="s">
        <v>111</v>
      </c>
      <c r="G14" s="3" t="s">
        <v>111</v>
      </c>
      <c r="H14" s="3" t="s">
        <v>111</v>
      </c>
      <c r="I14" s="3" t="s">
        <v>111</v>
      </c>
      <c r="J14" s="3"/>
    </row>
    <row r="15" spans="1:16" x14ac:dyDescent="0.25">
      <c r="A15" s="2" t="s">
        <v>236</v>
      </c>
      <c r="B15" s="3" t="s">
        <v>109</v>
      </c>
      <c r="C15" s="3" t="s">
        <v>111</v>
      </c>
      <c r="D15" s="3" t="s">
        <v>111</v>
      </c>
      <c r="E15" s="3" t="s">
        <v>111</v>
      </c>
      <c r="F15" s="3" t="s">
        <v>111</v>
      </c>
      <c r="G15" s="3" t="s">
        <v>111</v>
      </c>
      <c r="H15" s="3" t="s">
        <v>111</v>
      </c>
      <c r="I15" s="3" t="s">
        <v>111</v>
      </c>
      <c r="J15" s="3"/>
    </row>
    <row r="16" spans="1:16" x14ac:dyDescent="0.25">
      <c r="A16" s="2" t="s">
        <v>236</v>
      </c>
      <c r="B16" s="3" t="s">
        <v>109</v>
      </c>
      <c r="C16" s="3" t="s">
        <v>111</v>
      </c>
      <c r="D16" s="3" t="s">
        <v>111</v>
      </c>
      <c r="E16" s="3" t="s">
        <v>111</v>
      </c>
      <c r="F16" s="3" t="s">
        <v>111</v>
      </c>
      <c r="G16" s="3" t="s">
        <v>111</v>
      </c>
      <c r="H16" s="3" t="s">
        <v>111</v>
      </c>
      <c r="I16" s="3" t="s">
        <v>111</v>
      </c>
      <c r="J16" s="3"/>
    </row>
    <row r="17" spans="1:10" x14ac:dyDescent="0.25">
      <c r="A17" s="2" t="s">
        <v>236</v>
      </c>
      <c r="B17" s="3" t="s">
        <v>109</v>
      </c>
      <c r="C17" s="3" t="s">
        <v>111</v>
      </c>
      <c r="D17" s="3" t="s">
        <v>111</v>
      </c>
      <c r="E17" s="3" t="s">
        <v>111</v>
      </c>
      <c r="F17" s="3" t="s">
        <v>111</v>
      </c>
      <c r="G17" s="3" t="s">
        <v>111</v>
      </c>
      <c r="H17" s="3" t="s">
        <v>111</v>
      </c>
      <c r="I17" s="3" t="s">
        <v>111</v>
      </c>
      <c r="J17" s="3"/>
    </row>
    <row r="18" spans="1:10" x14ac:dyDescent="0.25">
      <c r="A18" s="2" t="s">
        <v>236</v>
      </c>
      <c r="B18" s="3" t="s">
        <v>109</v>
      </c>
      <c r="C18" s="3" t="s">
        <v>111</v>
      </c>
      <c r="D18" s="3" t="s">
        <v>111</v>
      </c>
      <c r="E18" s="3" t="s">
        <v>111</v>
      </c>
      <c r="F18" s="3" t="s">
        <v>111</v>
      </c>
      <c r="G18" s="3" t="s">
        <v>111</v>
      </c>
      <c r="H18" s="3" t="s">
        <v>111</v>
      </c>
      <c r="I18" s="3" t="s">
        <v>111</v>
      </c>
      <c r="J18" s="3"/>
    </row>
    <row r="19" spans="1:10" x14ac:dyDescent="0.25">
      <c r="A19" s="2" t="s">
        <v>236</v>
      </c>
      <c r="B19" s="3" t="s">
        <v>109</v>
      </c>
      <c r="C19" s="3" t="s">
        <v>111</v>
      </c>
      <c r="D19" s="3" t="s">
        <v>111</v>
      </c>
      <c r="E19" s="3" t="s">
        <v>111</v>
      </c>
      <c r="F19" s="3" t="s">
        <v>111</v>
      </c>
      <c r="G19" s="3" t="s">
        <v>111</v>
      </c>
      <c r="H19" s="3" t="s">
        <v>111</v>
      </c>
      <c r="I19" s="3" t="s">
        <v>111</v>
      </c>
      <c r="J19" s="3"/>
    </row>
    <row r="20" spans="1:10" x14ac:dyDescent="0.25">
      <c r="A20" s="2" t="s">
        <v>237</v>
      </c>
      <c r="B20" s="3" t="s">
        <v>109</v>
      </c>
      <c r="C20" s="3" t="s">
        <v>111</v>
      </c>
      <c r="D20" s="3" t="s">
        <v>111</v>
      </c>
      <c r="E20" s="3" t="s">
        <v>111</v>
      </c>
      <c r="F20" s="3" t="s">
        <v>111</v>
      </c>
      <c r="G20" s="3" t="s">
        <v>111</v>
      </c>
      <c r="H20" s="3" t="s">
        <v>111</v>
      </c>
      <c r="I20" s="3" t="s">
        <v>111</v>
      </c>
      <c r="J20" s="3"/>
    </row>
    <row r="21" spans="1:10" x14ac:dyDescent="0.25">
      <c r="A21" s="2" t="s">
        <v>237</v>
      </c>
      <c r="B21" s="3" t="s">
        <v>109</v>
      </c>
      <c r="C21" s="3" t="s">
        <v>111</v>
      </c>
      <c r="D21" s="3" t="s">
        <v>111</v>
      </c>
      <c r="E21" s="3" t="s">
        <v>111</v>
      </c>
      <c r="F21" s="3" t="s">
        <v>111</v>
      </c>
      <c r="G21" s="3" t="s">
        <v>111</v>
      </c>
      <c r="H21" s="3" t="s">
        <v>111</v>
      </c>
      <c r="I21" s="3" t="s">
        <v>111</v>
      </c>
      <c r="J21" s="3"/>
    </row>
    <row r="22" spans="1:10" x14ac:dyDescent="0.25">
      <c r="A22" s="2" t="s">
        <v>238</v>
      </c>
      <c r="B22" s="3" t="s">
        <v>109</v>
      </c>
      <c r="C22" s="3" t="s">
        <v>111</v>
      </c>
      <c r="D22" s="3" t="s">
        <v>111</v>
      </c>
      <c r="E22" s="3" t="s">
        <v>111</v>
      </c>
      <c r="F22" s="3" t="s">
        <v>111</v>
      </c>
      <c r="G22" s="3" t="s">
        <v>111</v>
      </c>
      <c r="H22" s="3" t="s">
        <v>111</v>
      </c>
      <c r="I22" s="3" t="s">
        <v>111</v>
      </c>
      <c r="J22" s="3"/>
    </row>
    <row r="23" spans="1:10" x14ac:dyDescent="0.25">
      <c r="A23" s="2" t="s">
        <v>238</v>
      </c>
      <c r="B23" s="3" t="s">
        <v>109</v>
      </c>
      <c r="C23" s="3" t="s">
        <v>111</v>
      </c>
      <c r="D23" s="3" t="s">
        <v>111</v>
      </c>
      <c r="E23" s="3" t="s">
        <v>111</v>
      </c>
      <c r="F23" s="3" t="s">
        <v>111</v>
      </c>
      <c r="G23" s="3" t="s">
        <v>111</v>
      </c>
      <c r="H23" s="3" t="s">
        <v>111</v>
      </c>
      <c r="I23" s="3" t="s">
        <v>111</v>
      </c>
      <c r="J23" s="3"/>
    </row>
    <row r="24" spans="1:10" x14ac:dyDescent="0.25">
      <c r="A24" s="2" t="s">
        <v>238</v>
      </c>
      <c r="B24" s="3" t="s">
        <v>109</v>
      </c>
      <c r="C24" s="3" t="s">
        <v>111</v>
      </c>
      <c r="D24" s="3" t="s">
        <v>111</v>
      </c>
      <c r="E24" s="3" t="s">
        <v>111</v>
      </c>
      <c r="F24" s="3" t="s">
        <v>111</v>
      </c>
      <c r="G24" s="3" t="s">
        <v>111</v>
      </c>
      <c r="H24" s="3" t="s">
        <v>111</v>
      </c>
      <c r="I24" s="3" t="s">
        <v>111</v>
      </c>
      <c r="J24" s="3"/>
    </row>
    <row r="25" spans="1:10" x14ac:dyDescent="0.25">
      <c r="A25" s="2" t="s">
        <v>238</v>
      </c>
      <c r="B25" s="3" t="s">
        <v>109</v>
      </c>
      <c r="C25" s="3" t="s">
        <v>111</v>
      </c>
      <c r="D25" s="3" t="s">
        <v>111</v>
      </c>
      <c r="E25" s="3" t="s">
        <v>111</v>
      </c>
      <c r="F25" s="3" t="s">
        <v>111</v>
      </c>
      <c r="G25" s="3" t="s">
        <v>111</v>
      </c>
      <c r="H25" s="3" t="s">
        <v>111</v>
      </c>
      <c r="I25" s="3" t="s">
        <v>111</v>
      </c>
      <c r="J25" s="3"/>
    </row>
    <row r="26" spans="1:10" x14ac:dyDescent="0.25">
      <c r="A26" s="2" t="s">
        <v>238</v>
      </c>
      <c r="B26" s="3" t="s">
        <v>109</v>
      </c>
      <c r="C26" s="3" t="s">
        <v>111</v>
      </c>
      <c r="D26" s="3" t="s">
        <v>111</v>
      </c>
      <c r="E26" s="3" t="s">
        <v>111</v>
      </c>
      <c r="F26" s="3" t="s">
        <v>111</v>
      </c>
      <c r="G26" s="3" t="s">
        <v>111</v>
      </c>
      <c r="H26" s="3" t="s">
        <v>111</v>
      </c>
      <c r="I26" s="3" t="s">
        <v>111</v>
      </c>
      <c r="J26" s="3"/>
    </row>
    <row r="27" spans="1:10" x14ac:dyDescent="0.25">
      <c r="A27" s="2" t="s">
        <v>238</v>
      </c>
      <c r="B27" s="3" t="s">
        <v>109</v>
      </c>
      <c r="C27" s="3" t="s">
        <v>111</v>
      </c>
      <c r="D27" s="3" t="s">
        <v>111</v>
      </c>
      <c r="E27" s="3" t="s">
        <v>111</v>
      </c>
      <c r="F27" s="3" t="s">
        <v>111</v>
      </c>
      <c r="G27" s="3" t="s">
        <v>111</v>
      </c>
      <c r="H27" s="3" t="s">
        <v>111</v>
      </c>
      <c r="I27" s="3" t="s">
        <v>111</v>
      </c>
      <c r="J27" s="3"/>
    </row>
    <row r="28" spans="1:10" x14ac:dyDescent="0.25">
      <c r="A28" s="2" t="s">
        <v>238</v>
      </c>
      <c r="B28" s="3" t="s">
        <v>109</v>
      </c>
      <c r="C28" s="3" t="s">
        <v>111</v>
      </c>
      <c r="D28" s="3" t="s">
        <v>111</v>
      </c>
      <c r="E28" s="3" t="s">
        <v>111</v>
      </c>
      <c r="F28" s="3" t="s">
        <v>111</v>
      </c>
      <c r="G28" s="3" t="s">
        <v>111</v>
      </c>
      <c r="H28" s="3" t="s">
        <v>111</v>
      </c>
      <c r="I28" s="3" t="s">
        <v>111</v>
      </c>
      <c r="J28" s="3"/>
    </row>
    <row r="29" spans="1:10" x14ac:dyDescent="0.25">
      <c r="A29" s="2" t="s">
        <v>238</v>
      </c>
      <c r="B29" s="3" t="s">
        <v>109</v>
      </c>
      <c r="C29" s="3" t="s">
        <v>111</v>
      </c>
      <c r="D29" s="3" t="s">
        <v>111</v>
      </c>
      <c r="E29" s="3" t="s">
        <v>111</v>
      </c>
      <c r="F29" s="3" t="s">
        <v>111</v>
      </c>
      <c r="G29" s="3" t="s">
        <v>111</v>
      </c>
      <c r="H29" s="3" t="s">
        <v>111</v>
      </c>
      <c r="I29" s="3" t="s">
        <v>111</v>
      </c>
      <c r="J29" s="3"/>
    </row>
    <row r="30" spans="1:10" x14ac:dyDescent="0.25">
      <c r="A30" s="2" t="s">
        <v>215</v>
      </c>
      <c r="B30" s="3" t="s">
        <v>109</v>
      </c>
      <c r="C30" s="3" t="s">
        <v>111</v>
      </c>
      <c r="D30" s="3" t="s">
        <v>111</v>
      </c>
      <c r="E30" s="3" t="s">
        <v>111</v>
      </c>
      <c r="F30" s="3" t="s">
        <v>111</v>
      </c>
      <c r="G30" s="3" t="s">
        <v>111</v>
      </c>
      <c r="H30" s="3" t="s">
        <v>111</v>
      </c>
      <c r="I30" s="3" t="s">
        <v>111</v>
      </c>
      <c r="J30" s="3"/>
    </row>
    <row r="31" spans="1:10" x14ac:dyDescent="0.25">
      <c r="A31" s="2" t="s">
        <v>215</v>
      </c>
      <c r="B31" s="3" t="s">
        <v>109</v>
      </c>
      <c r="C31" s="3" t="s">
        <v>111</v>
      </c>
      <c r="D31" s="3" t="s">
        <v>111</v>
      </c>
      <c r="E31" s="3" t="s">
        <v>111</v>
      </c>
      <c r="F31" s="3" t="s">
        <v>111</v>
      </c>
      <c r="G31" s="3" t="s">
        <v>111</v>
      </c>
      <c r="H31" s="3" t="s">
        <v>111</v>
      </c>
      <c r="I31" s="3" t="s">
        <v>111</v>
      </c>
      <c r="J31" s="3"/>
    </row>
    <row r="32" spans="1:10" x14ac:dyDescent="0.25">
      <c r="A32" s="2" t="s">
        <v>215</v>
      </c>
      <c r="B32" s="3" t="s">
        <v>109</v>
      </c>
      <c r="C32" s="3" t="s">
        <v>111</v>
      </c>
      <c r="D32" s="3" t="s">
        <v>111</v>
      </c>
      <c r="E32" s="3" t="s">
        <v>111</v>
      </c>
      <c r="F32" s="3" t="s">
        <v>111</v>
      </c>
      <c r="G32" s="3" t="s">
        <v>111</v>
      </c>
      <c r="H32" s="3" t="s">
        <v>111</v>
      </c>
      <c r="I32" s="3" t="s">
        <v>111</v>
      </c>
      <c r="J32" s="3"/>
    </row>
    <row r="33" spans="1:10" x14ac:dyDescent="0.25">
      <c r="A33" s="2" t="s">
        <v>237</v>
      </c>
      <c r="B33" s="3" t="s">
        <v>109</v>
      </c>
      <c r="C33" s="3" t="s">
        <v>109</v>
      </c>
      <c r="D33" s="3" t="s">
        <v>111</v>
      </c>
      <c r="E33" s="3" t="s">
        <v>111</v>
      </c>
      <c r="F33" s="3" t="s">
        <v>111</v>
      </c>
      <c r="G33" s="3" t="s">
        <v>111</v>
      </c>
      <c r="H33" s="3" t="s">
        <v>111</v>
      </c>
      <c r="I33" s="3" t="s">
        <v>111</v>
      </c>
      <c r="J33" s="3"/>
    </row>
    <row r="34" spans="1:10" x14ac:dyDescent="0.25">
      <c r="A34" s="2" t="s">
        <v>236</v>
      </c>
      <c r="B34" s="3" t="s">
        <v>109</v>
      </c>
      <c r="C34" s="3" t="s">
        <v>111</v>
      </c>
      <c r="D34" s="3" t="s">
        <v>109</v>
      </c>
      <c r="E34" s="3" t="s">
        <v>111</v>
      </c>
      <c r="F34" s="3" t="s">
        <v>111</v>
      </c>
      <c r="G34" s="3" t="s">
        <v>111</v>
      </c>
      <c r="H34" s="3" t="s">
        <v>111</v>
      </c>
      <c r="I34" s="3" t="s">
        <v>111</v>
      </c>
      <c r="J34" s="3"/>
    </row>
    <row r="35" spans="1:10" x14ac:dyDescent="0.25">
      <c r="A35" s="2" t="s">
        <v>237</v>
      </c>
      <c r="B35" s="3" t="s">
        <v>109</v>
      </c>
      <c r="C35" s="3" t="s">
        <v>111</v>
      </c>
      <c r="D35" s="3" t="s">
        <v>109</v>
      </c>
      <c r="E35" s="3" t="s">
        <v>111</v>
      </c>
      <c r="F35" s="3" t="s">
        <v>111</v>
      </c>
      <c r="G35" s="3" t="s">
        <v>111</v>
      </c>
      <c r="H35" s="3" t="s">
        <v>111</v>
      </c>
      <c r="I35" s="3" t="s">
        <v>111</v>
      </c>
      <c r="J35" s="3"/>
    </row>
    <row r="36" spans="1:10" x14ac:dyDescent="0.25">
      <c r="A36" s="2" t="s">
        <v>238</v>
      </c>
      <c r="B36" s="3" t="s">
        <v>109</v>
      </c>
      <c r="C36" s="3" t="s">
        <v>111</v>
      </c>
      <c r="D36" s="3" t="s">
        <v>109</v>
      </c>
      <c r="E36" s="3" t="s">
        <v>111</v>
      </c>
      <c r="F36" s="3" t="s">
        <v>111</v>
      </c>
      <c r="G36" s="3" t="s">
        <v>111</v>
      </c>
      <c r="H36" s="3" t="s">
        <v>111</v>
      </c>
      <c r="I36" s="3" t="s">
        <v>111</v>
      </c>
      <c r="J36" s="3"/>
    </row>
    <row r="37" spans="1:10" x14ac:dyDescent="0.25">
      <c r="A37" s="2" t="s">
        <v>238</v>
      </c>
      <c r="B37" s="3" t="s">
        <v>109</v>
      </c>
      <c r="C37" s="3" t="s">
        <v>111</v>
      </c>
      <c r="D37" s="3" t="s">
        <v>109</v>
      </c>
      <c r="E37" s="3" t="s">
        <v>111</v>
      </c>
      <c r="F37" s="3" t="s">
        <v>111</v>
      </c>
      <c r="G37" s="3" t="s">
        <v>111</v>
      </c>
      <c r="H37" s="3" t="s">
        <v>111</v>
      </c>
      <c r="I37" s="3" t="s">
        <v>111</v>
      </c>
      <c r="J37" s="3"/>
    </row>
    <row r="38" spans="1:10" x14ac:dyDescent="0.25">
      <c r="A38" s="2" t="s">
        <v>238</v>
      </c>
      <c r="B38" s="3" t="s">
        <v>109</v>
      </c>
      <c r="C38" s="3" t="s">
        <v>111</v>
      </c>
      <c r="D38" s="3" t="s">
        <v>109</v>
      </c>
      <c r="E38" s="3" t="s">
        <v>111</v>
      </c>
      <c r="F38" s="3" t="s">
        <v>111</v>
      </c>
      <c r="G38" s="3" t="s">
        <v>111</v>
      </c>
      <c r="H38" s="3" t="s">
        <v>111</v>
      </c>
      <c r="I38" s="3" t="s">
        <v>111</v>
      </c>
      <c r="J38" s="3"/>
    </row>
    <row r="39" spans="1:10" x14ac:dyDescent="0.25">
      <c r="A39" s="2" t="s">
        <v>238</v>
      </c>
      <c r="B39" s="3" t="s">
        <v>109</v>
      </c>
      <c r="C39" s="3" t="s">
        <v>111</v>
      </c>
      <c r="D39" s="3" t="s">
        <v>109</v>
      </c>
      <c r="E39" s="3" t="s">
        <v>111</v>
      </c>
      <c r="F39" s="3" t="s">
        <v>111</v>
      </c>
      <c r="G39" s="3" t="s">
        <v>111</v>
      </c>
      <c r="H39" s="3" t="s">
        <v>111</v>
      </c>
      <c r="I39" s="3" t="s">
        <v>111</v>
      </c>
      <c r="J39" s="3"/>
    </row>
    <row r="40" spans="1:10" x14ac:dyDescent="0.25">
      <c r="A40" s="2" t="s">
        <v>238</v>
      </c>
      <c r="B40" s="3" t="s">
        <v>109</v>
      </c>
      <c r="C40" s="3" t="s">
        <v>111</v>
      </c>
      <c r="D40" s="3" t="s">
        <v>109</v>
      </c>
      <c r="E40" s="3" t="s">
        <v>111</v>
      </c>
      <c r="F40" s="3" t="s">
        <v>111</v>
      </c>
      <c r="G40" s="3" t="s">
        <v>111</v>
      </c>
      <c r="H40" s="3" t="s">
        <v>111</v>
      </c>
      <c r="I40" s="3" t="s">
        <v>111</v>
      </c>
      <c r="J40" s="3"/>
    </row>
    <row r="41" spans="1:10" x14ac:dyDescent="0.25">
      <c r="A41" s="2" t="s">
        <v>215</v>
      </c>
      <c r="B41" s="3" t="s">
        <v>109</v>
      </c>
      <c r="C41" s="3" t="s">
        <v>111</v>
      </c>
      <c r="D41" s="3" t="s">
        <v>109</v>
      </c>
      <c r="E41" s="3" t="s">
        <v>111</v>
      </c>
      <c r="F41" s="3" t="s">
        <v>111</v>
      </c>
      <c r="G41" s="3" t="s">
        <v>111</v>
      </c>
      <c r="H41" s="3" t="s">
        <v>111</v>
      </c>
      <c r="I41" s="3" t="s">
        <v>111</v>
      </c>
      <c r="J41" s="3"/>
    </row>
    <row r="42" spans="1:10" x14ac:dyDescent="0.25">
      <c r="A42" s="2" t="s">
        <v>215</v>
      </c>
      <c r="B42" s="3" t="s">
        <v>109</v>
      </c>
      <c r="C42" s="3" t="s">
        <v>111</v>
      </c>
      <c r="D42" s="3" t="s">
        <v>109</v>
      </c>
      <c r="E42" s="3" t="s">
        <v>111</v>
      </c>
      <c r="F42" s="3" t="s">
        <v>111</v>
      </c>
      <c r="G42" s="3" t="s">
        <v>111</v>
      </c>
      <c r="H42" s="3" t="s">
        <v>111</v>
      </c>
      <c r="I42" s="3" t="s">
        <v>111</v>
      </c>
      <c r="J42" s="3"/>
    </row>
    <row r="43" spans="1:10" x14ac:dyDescent="0.25">
      <c r="A43" s="2" t="s">
        <v>238</v>
      </c>
      <c r="B43" s="3" t="s">
        <v>111</v>
      </c>
      <c r="C43" s="3" t="s">
        <v>111</v>
      </c>
      <c r="D43" s="3" t="s">
        <v>111</v>
      </c>
      <c r="E43" s="3" t="s">
        <v>109</v>
      </c>
      <c r="F43" s="3" t="s">
        <v>111</v>
      </c>
      <c r="G43" s="3" t="s">
        <v>111</v>
      </c>
      <c r="H43" s="3" t="s">
        <v>111</v>
      </c>
      <c r="I43" s="3" t="s">
        <v>111</v>
      </c>
      <c r="J43" s="3"/>
    </row>
    <row r="44" spans="1:10" x14ac:dyDescent="0.25">
      <c r="A44" s="2" t="s">
        <v>238</v>
      </c>
      <c r="B44" s="3" t="s">
        <v>111</v>
      </c>
      <c r="C44" s="3" t="s">
        <v>111</v>
      </c>
      <c r="D44" s="3" t="s">
        <v>111</v>
      </c>
      <c r="E44" s="3" t="s">
        <v>109</v>
      </c>
      <c r="F44" s="3" t="s">
        <v>111</v>
      </c>
      <c r="G44" s="3" t="s">
        <v>111</v>
      </c>
      <c r="H44" s="3" t="s">
        <v>111</v>
      </c>
      <c r="I44" s="3" t="s">
        <v>111</v>
      </c>
      <c r="J44" s="3"/>
    </row>
    <row r="45" spans="1:10" x14ac:dyDescent="0.25">
      <c r="A45" s="2" t="s">
        <v>236</v>
      </c>
      <c r="B45" s="3" t="s">
        <v>109</v>
      </c>
      <c r="C45" s="3" t="s">
        <v>111</v>
      </c>
      <c r="D45" s="3" t="s">
        <v>111</v>
      </c>
      <c r="E45" s="3" t="s">
        <v>109</v>
      </c>
      <c r="F45" s="3" t="s">
        <v>111</v>
      </c>
      <c r="G45" s="3" t="s">
        <v>111</v>
      </c>
      <c r="H45" s="3" t="s">
        <v>111</v>
      </c>
      <c r="I45" s="3" t="s">
        <v>111</v>
      </c>
      <c r="J45" s="3"/>
    </row>
    <row r="46" spans="1:10" x14ac:dyDescent="0.25">
      <c r="A46" s="2" t="s">
        <v>238</v>
      </c>
      <c r="B46" s="3" t="s">
        <v>109</v>
      </c>
      <c r="C46" s="3" t="s">
        <v>111</v>
      </c>
      <c r="D46" s="3" t="s">
        <v>111</v>
      </c>
      <c r="E46" s="3" t="s">
        <v>109</v>
      </c>
      <c r="F46" s="3" t="s">
        <v>111</v>
      </c>
      <c r="G46" s="3" t="s">
        <v>111</v>
      </c>
      <c r="H46" s="3" t="s">
        <v>111</v>
      </c>
      <c r="I46" s="3" t="s">
        <v>111</v>
      </c>
      <c r="J46" s="3"/>
    </row>
    <row r="47" spans="1:10" x14ac:dyDescent="0.25">
      <c r="A47" s="2" t="s">
        <v>238</v>
      </c>
      <c r="B47" s="3" t="s">
        <v>109</v>
      </c>
      <c r="C47" s="3" t="s">
        <v>111</v>
      </c>
      <c r="D47" s="3" t="s">
        <v>111</v>
      </c>
      <c r="E47" s="3" t="s">
        <v>109</v>
      </c>
      <c r="F47" s="3" t="s">
        <v>111</v>
      </c>
      <c r="G47" s="3" t="s">
        <v>111</v>
      </c>
      <c r="H47" s="3" t="s">
        <v>111</v>
      </c>
      <c r="I47" s="3" t="s">
        <v>111</v>
      </c>
      <c r="J47" s="3"/>
    </row>
    <row r="48" spans="1:10" x14ac:dyDescent="0.25">
      <c r="A48" s="2" t="s">
        <v>238</v>
      </c>
      <c r="B48" s="3" t="s">
        <v>109</v>
      </c>
      <c r="C48" s="3" t="s">
        <v>111</v>
      </c>
      <c r="D48" s="3" t="s">
        <v>111</v>
      </c>
      <c r="E48" s="3" t="s">
        <v>109</v>
      </c>
      <c r="F48" s="3" t="s">
        <v>111</v>
      </c>
      <c r="G48" s="3" t="s">
        <v>111</v>
      </c>
      <c r="H48" s="3" t="s">
        <v>111</v>
      </c>
      <c r="I48" s="3" t="s">
        <v>111</v>
      </c>
      <c r="J48" s="3"/>
    </row>
    <row r="49" spans="1:10" x14ac:dyDescent="0.25">
      <c r="A49" s="2" t="s">
        <v>238</v>
      </c>
      <c r="B49" s="3" t="s">
        <v>109</v>
      </c>
      <c r="C49" s="3" t="s">
        <v>111</v>
      </c>
      <c r="D49" s="3" t="s">
        <v>111</v>
      </c>
      <c r="E49" s="3" t="s">
        <v>109</v>
      </c>
      <c r="F49" s="3" t="s">
        <v>111</v>
      </c>
      <c r="G49" s="3" t="s">
        <v>111</v>
      </c>
      <c r="H49" s="3" t="s">
        <v>111</v>
      </c>
      <c r="I49" s="3" t="s">
        <v>111</v>
      </c>
      <c r="J49" s="3"/>
    </row>
    <row r="50" spans="1:10" x14ac:dyDescent="0.25">
      <c r="A50" s="2" t="s">
        <v>236</v>
      </c>
      <c r="B50" s="3" t="s">
        <v>111</v>
      </c>
      <c r="C50" s="3" t="s">
        <v>111</v>
      </c>
      <c r="D50" s="3" t="s">
        <v>109</v>
      </c>
      <c r="E50" s="3" t="s">
        <v>109</v>
      </c>
      <c r="F50" s="3" t="s">
        <v>111</v>
      </c>
      <c r="G50" s="3" t="s">
        <v>111</v>
      </c>
      <c r="H50" s="3" t="s">
        <v>111</v>
      </c>
      <c r="I50" s="3" t="s">
        <v>111</v>
      </c>
      <c r="J50" s="3"/>
    </row>
    <row r="51" spans="1:10" x14ac:dyDescent="0.25">
      <c r="A51" s="2" t="s">
        <v>236</v>
      </c>
      <c r="B51" s="3" t="s">
        <v>109</v>
      </c>
      <c r="C51" s="3" t="s">
        <v>111</v>
      </c>
      <c r="D51" s="3" t="s">
        <v>109</v>
      </c>
      <c r="E51" s="3" t="s">
        <v>109</v>
      </c>
      <c r="F51" s="3" t="s">
        <v>111</v>
      </c>
      <c r="G51" s="3" t="s">
        <v>111</v>
      </c>
      <c r="H51" s="3" t="s">
        <v>111</v>
      </c>
      <c r="I51" s="3" t="s">
        <v>111</v>
      </c>
      <c r="J51" s="3"/>
    </row>
    <row r="52" spans="1:10" x14ac:dyDescent="0.25">
      <c r="A52" s="2" t="s">
        <v>238</v>
      </c>
      <c r="B52" s="3" t="s">
        <v>109</v>
      </c>
      <c r="C52" s="3" t="s">
        <v>111</v>
      </c>
      <c r="D52" s="3" t="s">
        <v>109</v>
      </c>
      <c r="E52" s="3" t="s">
        <v>109</v>
      </c>
      <c r="F52" s="3" t="s">
        <v>111</v>
      </c>
      <c r="G52" s="3" t="s">
        <v>111</v>
      </c>
      <c r="H52" s="3" t="s">
        <v>111</v>
      </c>
      <c r="I52" s="3" t="s">
        <v>111</v>
      </c>
      <c r="J52" s="3"/>
    </row>
    <row r="53" spans="1:10" x14ac:dyDescent="0.25">
      <c r="A53" s="2" t="s">
        <v>238</v>
      </c>
      <c r="B53" s="3" t="s">
        <v>111</v>
      </c>
      <c r="C53" s="3" t="s">
        <v>111</v>
      </c>
      <c r="D53" s="3" t="s">
        <v>111</v>
      </c>
      <c r="E53" s="3" t="s">
        <v>111</v>
      </c>
      <c r="F53" s="3" t="s">
        <v>109</v>
      </c>
      <c r="G53" s="3" t="s">
        <v>111</v>
      </c>
      <c r="H53" s="3" t="s">
        <v>111</v>
      </c>
      <c r="I53" s="3" t="s">
        <v>111</v>
      </c>
      <c r="J53" s="3"/>
    </row>
    <row r="54" spans="1:10" x14ac:dyDescent="0.25">
      <c r="A54" s="2" t="s">
        <v>238</v>
      </c>
      <c r="B54" s="3" t="s">
        <v>109</v>
      </c>
      <c r="C54" s="3" t="s">
        <v>111</v>
      </c>
      <c r="D54" s="3" t="s">
        <v>111</v>
      </c>
      <c r="E54" s="3" t="s">
        <v>111</v>
      </c>
      <c r="F54" s="3" t="s">
        <v>109</v>
      </c>
      <c r="G54" s="3" t="s">
        <v>111</v>
      </c>
      <c r="H54" s="3" t="s">
        <v>111</v>
      </c>
      <c r="I54" s="3" t="s">
        <v>111</v>
      </c>
      <c r="J54" s="3"/>
    </row>
    <row r="55" spans="1:10" x14ac:dyDescent="0.25">
      <c r="A55" s="2" t="s">
        <v>238</v>
      </c>
      <c r="B55" s="3" t="s">
        <v>111</v>
      </c>
      <c r="C55" s="3" t="s">
        <v>111</v>
      </c>
      <c r="D55" s="3" t="s">
        <v>109</v>
      </c>
      <c r="E55" s="3" t="s">
        <v>111</v>
      </c>
      <c r="F55" s="3" t="s">
        <v>109</v>
      </c>
      <c r="G55" s="3" t="s">
        <v>111</v>
      </c>
      <c r="H55" s="3" t="s">
        <v>111</v>
      </c>
      <c r="I55" s="3" t="s">
        <v>111</v>
      </c>
      <c r="J55" s="3"/>
    </row>
    <row r="56" spans="1:10" x14ac:dyDescent="0.25">
      <c r="A56" s="2" t="s">
        <v>238</v>
      </c>
      <c r="B56" s="3" t="s">
        <v>109</v>
      </c>
      <c r="C56" s="3" t="s">
        <v>111</v>
      </c>
      <c r="D56" s="3" t="s">
        <v>109</v>
      </c>
      <c r="E56" s="3" t="s">
        <v>111</v>
      </c>
      <c r="F56" s="3" t="s">
        <v>109</v>
      </c>
      <c r="G56" s="3" t="s">
        <v>111</v>
      </c>
      <c r="H56" s="3" t="s">
        <v>111</v>
      </c>
      <c r="I56" s="3" t="s">
        <v>111</v>
      </c>
      <c r="J56" s="3"/>
    </row>
    <row r="57" spans="1:10" x14ac:dyDescent="0.25">
      <c r="A57" s="2" t="s">
        <v>238</v>
      </c>
      <c r="B57" s="3" t="s">
        <v>109</v>
      </c>
      <c r="C57" s="3" t="s">
        <v>111</v>
      </c>
      <c r="D57" s="3" t="s">
        <v>111</v>
      </c>
      <c r="E57" s="3" t="s">
        <v>109</v>
      </c>
      <c r="F57" s="3" t="s">
        <v>109</v>
      </c>
      <c r="G57" s="3" t="s">
        <v>111</v>
      </c>
      <c r="H57" s="3" t="s">
        <v>111</v>
      </c>
      <c r="I57" s="3" t="s">
        <v>111</v>
      </c>
      <c r="J57" s="3"/>
    </row>
    <row r="58" spans="1:10" x14ac:dyDescent="0.25">
      <c r="A58" s="2" t="s">
        <v>238</v>
      </c>
      <c r="B58" s="3" t="s">
        <v>109</v>
      </c>
      <c r="C58" s="3" t="s">
        <v>111</v>
      </c>
      <c r="D58" s="3" t="s">
        <v>111</v>
      </c>
      <c r="E58" s="3" t="s">
        <v>109</v>
      </c>
      <c r="F58" s="3" t="s">
        <v>109</v>
      </c>
      <c r="G58" s="3" t="s">
        <v>111</v>
      </c>
      <c r="H58" s="3" t="s">
        <v>111</v>
      </c>
      <c r="I58" s="3" t="s">
        <v>111</v>
      </c>
      <c r="J58" s="3"/>
    </row>
    <row r="59" spans="1:10" x14ac:dyDescent="0.25">
      <c r="A59" s="2" t="s">
        <v>236</v>
      </c>
      <c r="B59" s="3" t="s">
        <v>109</v>
      </c>
      <c r="C59" s="3" t="s">
        <v>111</v>
      </c>
      <c r="D59" s="3" t="s">
        <v>109</v>
      </c>
      <c r="E59" s="3" t="s">
        <v>109</v>
      </c>
      <c r="F59" s="3" t="s">
        <v>109</v>
      </c>
      <c r="G59" s="3" t="s">
        <v>111</v>
      </c>
      <c r="H59" s="3" t="s">
        <v>111</v>
      </c>
      <c r="I59" s="3" t="s">
        <v>111</v>
      </c>
      <c r="J59" s="3" t="s">
        <v>159</v>
      </c>
    </row>
    <row r="60" spans="1:10" x14ac:dyDescent="0.25">
      <c r="A60" s="2" t="s">
        <v>238</v>
      </c>
      <c r="B60" s="3" t="s">
        <v>109</v>
      </c>
      <c r="C60" s="3" t="s">
        <v>111</v>
      </c>
      <c r="D60" s="3" t="s">
        <v>109</v>
      </c>
      <c r="E60" s="3" t="s">
        <v>111</v>
      </c>
      <c r="F60" s="3" t="s">
        <v>111</v>
      </c>
      <c r="G60" s="3" t="s">
        <v>109</v>
      </c>
      <c r="H60" s="3" t="s">
        <v>111</v>
      </c>
      <c r="I60" s="3" t="s">
        <v>111</v>
      </c>
      <c r="J60" s="3"/>
    </row>
    <row r="61" spans="1:10" x14ac:dyDescent="0.25">
      <c r="A61" s="2" t="s">
        <v>238</v>
      </c>
      <c r="B61" s="3" t="s">
        <v>109</v>
      </c>
      <c r="C61" s="3" t="s">
        <v>111</v>
      </c>
      <c r="D61" s="3" t="s">
        <v>111</v>
      </c>
      <c r="E61" s="3" t="s">
        <v>109</v>
      </c>
      <c r="F61" s="3" t="s">
        <v>111</v>
      </c>
      <c r="G61" s="3" t="s">
        <v>109</v>
      </c>
      <c r="H61" s="3" t="s">
        <v>111</v>
      </c>
      <c r="I61" s="3" t="s">
        <v>111</v>
      </c>
      <c r="J61" s="3"/>
    </row>
    <row r="62" spans="1:10" x14ac:dyDescent="0.25">
      <c r="A62" s="2" t="s">
        <v>237</v>
      </c>
      <c r="B62" s="3" t="s">
        <v>109</v>
      </c>
      <c r="C62" s="3" t="s">
        <v>111</v>
      </c>
      <c r="D62" s="3" t="s">
        <v>109</v>
      </c>
      <c r="E62" s="3" t="s">
        <v>111</v>
      </c>
      <c r="F62" s="3" t="s">
        <v>109</v>
      </c>
      <c r="G62" s="3" t="s">
        <v>109</v>
      </c>
      <c r="H62" s="3" t="s">
        <v>111</v>
      </c>
      <c r="I62" s="3" t="s">
        <v>111</v>
      </c>
      <c r="J62" s="3"/>
    </row>
    <row r="63" spans="1:10" x14ac:dyDescent="0.25">
      <c r="A63" s="2" t="s">
        <v>238</v>
      </c>
      <c r="B63" s="3" t="s">
        <v>109</v>
      </c>
      <c r="C63" s="3" t="s">
        <v>111</v>
      </c>
      <c r="D63" s="3" t="s">
        <v>109</v>
      </c>
      <c r="E63" s="3" t="s">
        <v>109</v>
      </c>
      <c r="F63" s="3" t="s">
        <v>109</v>
      </c>
      <c r="G63" s="3" t="s">
        <v>109</v>
      </c>
      <c r="H63" s="3" t="s">
        <v>111</v>
      </c>
      <c r="I63" s="3" t="s">
        <v>111</v>
      </c>
      <c r="J63" s="3"/>
    </row>
    <row r="64" spans="1:10" x14ac:dyDescent="0.25">
      <c r="A64" s="3" t="s">
        <v>238</v>
      </c>
      <c r="B64" s="3" t="s">
        <v>109</v>
      </c>
      <c r="C64" s="3" t="s">
        <v>111</v>
      </c>
      <c r="D64" s="3" t="s">
        <v>109</v>
      </c>
      <c r="E64" s="3" t="s">
        <v>109</v>
      </c>
      <c r="F64" s="3" t="s">
        <v>109</v>
      </c>
      <c r="G64" s="3" t="s">
        <v>109</v>
      </c>
      <c r="H64" s="3" t="s">
        <v>111</v>
      </c>
      <c r="I64" s="3" t="s">
        <v>111</v>
      </c>
      <c r="J64" s="3"/>
    </row>
    <row r="65" spans="1:10" x14ac:dyDescent="0.25">
      <c r="A65" s="2" t="s">
        <v>236</v>
      </c>
      <c r="B65" s="3" t="s">
        <v>109</v>
      </c>
      <c r="C65" s="3" t="s">
        <v>111</v>
      </c>
      <c r="D65" s="3" t="s">
        <v>111</v>
      </c>
      <c r="E65" s="3" t="s">
        <v>111</v>
      </c>
      <c r="F65" s="3" t="s">
        <v>111</v>
      </c>
      <c r="G65" s="3" t="s">
        <v>111</v>
      </c>
      <c r="H65" s="3" t="s">
        <v>109</v>
      </c>
      <c r="I65" s="3" t="s">
        <v>111</v>
      </c>
      <c r="J65" s="3"/>
    </row>
    <row r="66" spans="1:10" x14ac:dyDescent="0.25">
      <c r="A66" s="2" t="s">
        <v>236</v>
      </c>
      <c r="B66" s="3" t="s">
        <v>109</v>
      </c>
      <c r="C66" s="3" t="s">
        <v>111</v>
      </c>
      <c r="D66" s="3" t="s">
        <v>111</v>
      </c>
      <c r="E66" s="3" t="s">
        <v>111</v>
      </c>
      <c r="F66" s="3" t="s">
        <v>111</v>
      </c>
      <c r="G66" s="3" t="s">
        <v>111</v>
      </c>
      <c r="H66" s="3" t="s">
        <v>109</v>
      </c>
      <c r="I66" s="3" t="s">
        <v>111</v>
      </c>
      <c r="J66" s="3"/>
    </row>
    <row r="67" spans="1:10" x14ac:dyDescent="0.25">
      <c r="A67" s="2" t="s">
        <v>236</v>
      </c>
      <c r="B67" s="3" t="s">
        <v>109</v>
      </c>
      <c r="C67" s="3" t="s">
        <v>111</v>
      </c>
      <c r="D67" s="3" t="s">
        <v>111</v>
      </c>
      <c r="E67" s="3" t="s">
        <v>111</v>
      </c>
      <c r="F67" s="3" t="s">
        <v>111</v>
      </c>
      <c r="G67" s="3" t="s">
        <v>111</v>
      </c>
      <c r="H67" s="3" t="s">
        <v>109</v>
      </c>
      <c r="I67" s="3" t="s">
        <v>111</v>
      </c>
      <c r="J67" s="3"/>
    </row>
    <row r="68" spans="1:10" x14ac:dyDescent="0.25">
      <c r="A68" s="2" t="s">
        <v>238</v>
      </c>
      <c r="B68" s="3" t="s">
        <v>109</v>
      </c>
      <c r="C68" s="3" t="s">
        <v>111</v>
      </c>
      <c r="D68" s="3" t="s">
        <v>111</v>
      </c>
      <c r="E68" s="3" t="s">
        <v>111</v>
      </c>
      <c r="F68" s="3" t="s">
        <v>111</v>
      </c>
      <c r="G68" s="3" t="s">
        <v>111</v>
      </c>
      <c r="H68" s="3" t="s">
        <v>109</v>
      </c>
      <c r="I68" s="3" t="s">
        <v>111</v>
      </c>
      <c r="J68" s="3"/>
    </row>
    <row r="69" spans="1:10" x14ac:dyDescent="0.25">
      <c r="A69" s="2" t="s">
        <v>236</v>
      </c>
      <c r="B69" s="3" t="s">
        <v>109</v>
      </c>
      <c r="C69" s="3" t="s">
        <v>111</v>
      </c>
      <c r="D69" s="3" t="s">
        <v>109</v>
      </c>
      <c r="E69" s="3" t="s">
        <v>111</v>
      </c>
      <c r="F69" s="3" t="s">
        <v>111</v>
      </c>
      <c r="G69" s="3" t="s">
        <v>111</v>
      </c>
      <c r="H69" s="3" t="s">
        <v>109</v>
      </c>
      <c r="I69" s="3" t="s">
        <v>111</v>
      </c>
      <c r="J69" s="3"/>
    </row>
    <row r="70" spans="1:10" x14ac:dyDescent="0.25">
      <c r="A70" s="2" t="s">
        <v>238</v>
      </c>
      <c r="B70" s="3" t="s">
        <v>109</v>
      </c>
      <c r="C70" s="3" t="s">
        <v>111</v>
      </c>
      <c r="D70" s="3" t="s">
        <v>109</v>
      </c>
      <c r="E70" s="3" t="s">
        <v>111</v>
      </c>
      <c r="F70" s="3" t="s">
        <v>111</v>
      </c>
      <c r="G70" s="3" t="s">
        <v>111</v>
      </c>
      <c r="H70" s="3" t="s">
        <v>109</v>
      </c>
      <c r="I70" s="3" t="s">
        <v>111</v>
      </c>
      <c r="J70" s="3"/>
    </row>
    <row r="71" spans="1:10" x14ac:dyDescent="0.25">
      <c r="A71" s="2" t="s">
        <v>215</v>
      </c>
      <c r="B71" s="3" t="s">
        <v>109</v>
      </c>
      <c r="C71" s="3" t="s">
        <v>111</v>
      </c>
      <c r="D71" s="3" t="s">
        <v>109</v>
      </c>
      <c r="E71" s="3" t="s">
        <v>111</v>
      </c>
      <c r="F71" s="3" t="s">
        <v>111</v>
      </c>
      <c r="G71" s="3" t="s">
        <v>111</v>
      </c>
      <c r="H71" s="3" t="s">
        <v>109</v>
      </c>
      <c r="I71" s="3" t="s">
        <v>111</v>
      </c>
      <c r="J71" s="3"/>
    </row>
    <row r="72" spans="1:10" x14ac:dyDescent="0.25">
      <c r="A72" s="2" t="s">
        <v>238</v>
      </c>
      <c r="B72" s="3" t="s">
        <v>111</v>
      </c>
      <c r="C72" s="3" t="s">
        <v>111</v>
      </c>
      <c r="D72" s="3" t="s">
        <v>111</v>
      </c>
      <c r="E72" s="3" t="s">
        <v>109</v>
      </c>
      <c r="F72" s="3" t="s">
        <v>109</v>
      </c>
      <c r="G72" s="3" t="s">
        <v>111</v>
      </c>
      <c r="H72" s="3" t="s">
        <v>109</v>
      </c>
      <c r="I72" s="3" t="s">
        <v>111</v>
      </c>
      <c r="J72" s="3"/>
    </row>
    <row r="73" spans="1:10" x14ac:dyDescent="0.25">
      <c r="A73" s="2" t="s">
        <v>238</v>
      </c>
      <c r="B73" s="3" t="s">
        <v>109</v>
      </c>
      <c r="C73" s="3" t="s">
        <v>111</v>
      </c>
      <c r="D73" s="3" t="s">
        <v>111</v>
      </c>
      <c r="E73" s="3" t="s">
        <v>109</v>
      </c>
      <c r="F73" s="3" t="s">
        <v>109</v>
      </c>
      <c r="G73" s="3" t="s">
        <v>111</v>
      </c>
      <c r="H73" s="3" t="s">
        <v>109</v>
      </c>
      <c r="I73" s="3" t="s">
        <v>111</v>
      </c>
      <c r="J73" s="3"/>
    </row>
    <row r="74" spans="1:10" x14ac:dyDescent="0.25">
      <c r="A74" s="2" t="s">
        <v>215</v>
      </c>
      <c r="B74" s="3" t="s">
        <v>109</v>
      </c>
      <c r="C74" s="3" t="s">
        <v>111</v>
      </c>
      <c r="D74" s="3" t="s">
        <v>109</v>
      </c>
      <c r="E74" s="3" t="s">
        <v>111</v>
      </c>
      <c r="F74" s="3" t="s">
        <v>111</v>
      </c>
      <c r="G74" s="3" t="s">
        <v>109</v>
      </c>
      <c r="H74" s="3" t="s">
        <v>109</v>
      </c>
      <c r="I74" s="3" t="s">
        <v>111</v>
      </c>
      <c r="J74" s="3"/>
    </row>
    <row r="75" spans="1:10" x14ac:dyDescent="0.25">
      <c r="A75" s="2" t="s">
        <v>238</v>
      </c>
      <c r="B75" s="3" t="s">
        <v>109</v>
      </c>
      <c r="C75" s="3" t="s">
        <v>111</v>
      </c>
      <c r="D75" s="3" t="s">
        <v>111</v>
      </c>
      <c r="E75" s="3" t="s">
        <v>111</v>
      </c>
      <c r="F75" s="3" t="s">
        <v>111</v>
      </c>
      <c r="G75" s="3" t="s">
        <v>111</v>
      </c>
      <c r="H75" s="3" t="s">
        <v>111</v>
      </c>
      <c r="I75" s="3" t="s">
        <v>109</v>
      </c>
      <c r="J75" s="3" t="s">
        <v>129</v>
      </c>
    </row>
    <row r="76" spans="1:10" x14ac:dyDescent="0.25">
      <c r="A76" s="2" t="s">
        <v>238</v>
      </c>
      <c r="B76" s="3" t="s">
        <v>109</v>
      </c>
      <c r="C76" s="3" t="s">
        <v>111</v>
      </c>
      <c r="D76" s="3" t="s">
        <v>111</v>
      </c>
      <c r="E76" s="3" t="s">
        <v>111</v>
      </c>
      <c r="F76" s="3" t="s">
        <v>111</v>
      </c>
      <c r="G76" s="3" t="s">
        <v>111</v>
      </c>
      <c r="H76" s="3" t="s">
        <v>111</v>
      </c>
      <c r="I76" s="3" t="s">
        <v>109</v>
      </c>
      <c r="J76" s="3" t="s">
        <v>145</v>
      </c>
    </row>
    <row r="79" spans="1:10" s="19" customFormat="1" x14ac:dyDescent="0.25"/>
    <row r="80" spans="1:10" x14ac:dyDescent="0.25">
      <c r="A80" s="2" t="s">
        <v>238</v>
      </c>
      <c r="B80" s="3"/>
      <c r="C80" s="3"/>
      <c r="D80" s="3"/>
      <c r="E80" s="3"/>
      <c r="F80" s="3"/>
      <c r="G80" s="3"/>
      <c r="H80" s="3"/>
      <c r="I80" s="3"/>
      <c r="J80" s="3" t="s">
        <v>153</v>
      </c>
    </row>
  </sheetData>
  <sortState ref="A5:J76">
    <sortCondition ref="I5:I76"/>
  </sortState>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2"/>
  <sheetViews>
    <sheetView workbookViewId="0"/>
  </sheetViews>
  <sheetFormatPr defaultRowHeight="15" x14ac:dyDescent="0.25"/>
  <cols>
    <col min="1" max="1" width="38.140625" bestFit="1" customWidth="1"/>
    <col min="2" max="2" width="6.5703125" customWidth="1"/>
    <col min="3" max="3" width="1.28515625" customWidth="1"/>
    <col min="4" max="4" width="15" customWidth="1"/>
    <col min="5" max="5" width="6.140625" customWidth="1"/>
  </cols>
  <sheetData>
    <row r="1" spans="1:5" x14ac:dyDescent="0.25">
      <c r="A1" s="15" t="s">
        <v>356</v>
      </c>
    </row>
    <row r="2" spans="1:5" s="19" customFormat="1" x14ac:dyDescent="0.25">
      <c r="A2" s="10" t="s">
        <v>325</v>
      </c>
    </row>
    <row r="3" spans="1:5" s="19" customFormat="1" x14ac:dyDescent="0.25">
      <c r="A3" s="10" t="s">
        <v>358</v>
      </c>
      <c r="C3" s="79"/>
    </row>
    <row r="4" spans="1:5" x14ac:dyDescent="0.25">
      <c r="C4" s="79"/>
    </row>
    <row r="5" spans="1:5" x14ac:dyDescent="0.25">
      <c r="A5" s="9" t="s">
        <v>234</v>
      </c>
      <c r="B5" s="9"/>
      <c r="C5" s="80"/>
      <c r="D5" s="9" t="s">
        <v>235</v>
      </c>
    </row>
    <row r="6" spans="1:5" x14ac:dyDescent="0.25">
      <c r="C6" s="79"/>
    </row>
    <row r="7" spans="1:5" x14ac:dyDescent="0.25">
      <c r="A7" s="8" t="s">
        <v>224</v>
      </c>
      <c r="B7">
        <v>50</v>
      </c>
      <c r="C7" s="79"/>
      <c r="D7" s="2" t="s">
        <v>238</v>
      </c>
      <c r="E7">
        <v>89</v>
      </c>
    </row>
    <row r="8" spans="1:5" x14ac:dyDescent="0.25">
      <c r="A8" s="2" t="s">
        <v>211</v>
      </c>
      <c r="B8">
        <v>38</v>
      </c>
      <c r="C8" s="79"/>
      <c r="D8" s="2" t="s">
        <v>236</v>
      </c>
      <c r="E8">
        <v>39</v>
      </c>
    </row>
    <row r="9" spans="1:5" x14ac:dyDescent="0.25">
      <c r="A9" s="2" t="s">
        <v>216</v>
      </c>
      <c r="B9">
        <v>22</v>
      </c>
      <c r="C9" s="79"/>
      <c r="D9" s="2" t="s">
        <v>215</v>
      </c>
      <c r="E9">
        <v>17</v>
      </c>
    </row>
    <row r="10" spans="1:5" x14ac:dyDescent="0.25">
      <c r="A10" s="2" t="s">
        <v>229</v>
      </c>
      <c r="B10">
        <v>7</v>
      </c>
      <c r="C10" s="79"/>
      <c r="D10" s="2" t="s">
        <v>237</v>
      </c>
      <c r="E10">
        <v>11</v>
      </c>
    </row>
    <row r="11" spans="1:5" x14ac:dyDescent="0.25">
      <c r="A11" s="8" t="s">
        <v>227</v>
      </c>
      <c r="B11">
        <v>6</v>
      </c>
      <c r="C11" s="79"/>
      <c r="D11" s="2"/>
      <c r="E11" s="1">
        <f>SUM(E7:E10)</f>
        <v>156</v>
      </c>
    </row>
    <row r="12" spans="1:5" x14ac:dyDescent="0.25">
      <c r="A12" s="2" t="s">
        <v>231</v>
      </c>
      <c r="B12">
        <v>5</v>
      </c>
      <c r="C12" s="79"/>
      <c r="D12" s="2"/>
    </row>
    <row r="13" spans="1:5" x14ac:dyDescent="0.25">
      <c r="A13" s="8" t="s">
        <v>226</v>
      </c>
      <c r="B13">
        <v>4</v>
      </c>
      <c r="C13" s="79"/>
      <c r="D13" s="2"/>
    </row>
    <row r="14" spans="1:5" x14ac:dyDescent="0.25">
      <c r="A14" s="2" t="s">
        <v>221</v>
      </c>
      <c r="B14">
        <v>4</v>
      </c>
      <c r="C14" s="79"/>
      <c r="D14" s="2"/>
    </row>
    <row r="15" spans="1:5" x14ac:dyDescent="0.25">
      <c r="A15" s="8" t="s">
        <v>232</v>
      </c>
      <c r="B15">
        <v>4</v>
      </c>
      <c r="C15" s="79"/>
      <c r="D15" s="2"/>
    </row>
    <row r="16" spans="1:5" x14ac:dyDescent="0.25">
      <c r="A16" s="8" t="s">
        <v>223</v>
      </c>
      <c r="B16">
        <v>2</v>
      </c>
      <c r="C16" s="79"/>
      <c r="D16" s="3"/>
    </row>
    <row r="17" spans="1:4" x14ac:dyDescent="0.25">
      <c r="A17" s="2" t="s">
        <v>230</v>
      </c>
      <c r="B17">
        <v>2</v>
      </c>
      <c r="C17" s="79"/>
      <c r="D17" s="2"/>
    </row>
    <row r="18" spans="1:4" x14ac:dyDescent="0.25">
      <c r="A18" s="2" t="s">
        <v>149</v>
      </c>
      <c r="B18">
        <v>2</v>
      </c>
      <c r="C18" s="79"/>
      <c r="D18" s="2"/>
    </row>
    <row r="19" spans="1:4" x14ac:dyDescent="0.25">
      <c r="A19" s="8" t="s">
        <v>225</v>
      </c>
      <c r="B19">
        <v>1</v>
      </c>
      <c r="C19" s="79"/>
      <c r="D19" s="2"/>
    </row>
    <row r="20" spans="1:4" x14ac:dyDescent="0.25">
      <c r="A20" s="2" t="s">
        <v>212</v>
      </c>
      <c r="B20">
        <v>1</v>
      </c>
      <c r="C20" s="79"/>
      <c r="D20" s="2"/>
    </row>
    <row r="21" spans="1:4" x14ac:dyDescent="0.25">
      <c r="A21" s="2" t="s">
        <v>217</v>
      </c>
      <c r="B21">
        <v>1</v>
      </c>
      <c r="C21" s="79"/>
      <c r="D21" s="2"/>
    </row>
    <row r="22" spans="1:4" x14ac:dyDescent="0.25">
      <c r="A22" s="2" t="s">
        <v>233</v>
      </c>
      <c r="B22">
        <v>1</v>
      </c>
      <c r="C22" s="79"/>
      <c r="D22" s="2"/>
    </row>
    <row r="23" spans="1:4" x14ac:dyDescent="0.25">
      <c r="A23" s="2" t="s">
        <v>213</v>
      </c>
      <c r="B23">
        <v>1</v>
      </c>
      <c r="C23" s="79"/>
      <c r="D23" s="2"/>
    </row>
    <row r="24" spans="1:4" x14ac:dyDescent="0.25">
      <c r="A24" s="2" t="s">
        <v>220</v>
      </c>
      <c r="B24">
        <v>1</v>
      </c>
      <c r="C24" s="79"/>
      <c r="D24" s="2"/>
    </row>
    <row r="25" spans="1:4" x14ac:dyDescent="0.25">
      <c r="A25" s="2" t="s">
        <v>144</v>
      </c>
      <c r="B25">
        <v>1</v>
      </c>
      <c r="C25" s="79"/>
      <c r="D25" s="2"/>
    </row>
    <row r="26" spans="1:4" x14ac:dyDescent="0.25">
      <c r="A26" s="2" t="s">
        <v>228</v>
      </c>
      <c r="B26">
        <v>1</v>
      </c>
      <c r="C26" s="79"/>
      <c r="D26" s="2"/>
    </row>
    <row r="27" spans="1:4" x14ac:dyDescent="0.25">
      <c r="A27" s="2" t="s">
        <v>219</v>
      </c>
      <c r="B27">
        <v>1</v>
      </c>
      <c r="C27" s="79"/>
      <c r="D27" s="2"/>
    </row>
    <row r="28" spans="1:4" x14ac:dyDescent="0.25">
      <c r="A28" s="2" t="s">
        <v>218</v>
      </c>
      <c r="B28">
        <v>1</v>
      </c>
      <c r="C28" s="79"/>
      <c r="D28" s="2"/>
    </row>
    <row r="29" spans="1:4" x14ac:dyDescent="0.25">
      <c r="A29" s="2"/>
      <c r="B29" s="1">
        <f>SUM(B7:B28)</f>
        <v>156</v>
      </c>
      <c r="C29" s="79"/>
      <c r="D29" s="2"/>
    </row>
    <row r="30" spans="1:4" x14ac:dyDescent="0.25">
      <c r="A30" s="2"/>
      <c r="D30" s="2"/>
    </row>
    <row r="31" spans="1:4" x14ac:dyDescent="0.25">
      <c r="A31" s="2"/>
      <c r="D31" s="2"/>
    </row>
    <row r="32" spans="1:4" x14ac:dyDescent="0.25">
      <c r="A32" s="2"/>
      <c r="D32" s="2"/>
    </row>
    <row r="33" spans="1:4" x14ac:dyDescent="0.25">
      <c r="A33" s="2"/>
      <c r="D33" s="2"/>
    </row>
    <row r="34" spans="1:4" x14ac:dyDescent="0.25">
      <c r="A34" s="2"/>
      <c r="D34" s="2"/>
    </row>
    <row r="35" spans="1:4" x14ac:dyDescent="0.25">
      <c r="A35" s="2"/>
      <c r="D35" s="2"/>
    </row>
    <row r="36" spans="1:4" x14ac:dyDescent="0.25">
      <c r="A36" s="2"/>
      <c r="D36" s="2"/>
    </row>
    <row r="37" spans="1:4" x14ac:dyDescent="0.25">
      <c r="A37" s="2"/>
      <c r="D37" s="2"/>
    </row>
    <row r="38" spans="1:4" x14ac:dyDescent="0.25">
      <c r="A38" s="2"/>
      <c r="D38" s="2"/>
    </row>
    <row r="39" spans="1:4" x14ac:dyDescent="0.25">
      <c r="A39" s="2"/>
      <c r="D39" s="2"/>
    </row>
    <row r="40" spans="1:4" x14ac:dyDescent="0.25">
      <c r="A40" s="2"/>
      <c r="D40" s="2"/>
    </row>
    <row r="41" spans="1:4" x14ac:dyDescent="0.25">
      <c r="A41" s="2"/>
      <c r="D41" s="2"/>
    </row>
    <row r="42" spans="1:4" x14ac:dyDescent="0.25">
      <c r="A42" s="2"/>
      <c r="D42" s="2"/>
    </row>
    <row r="43" spans="1:4" x14ac:dyDescent="0.25">
      <c r="A43" s="2"/>
      <c r="D43" s="2"/>
    </row>
    <row r="44" spans="1:4" x14ac:dyDescent="0.25">
      <c r="A44" s="2"/>
      <c r="D44" s="2"/>
    </row>
    <row r="45" spans="1:4" x14ac:dyDescent="0.25">
      <c r="A45" s="2"/>
      <c r="D45" s="2"/>
    </row>
    <row r="46" spans="1:4" x14ac:dyDescent="0.25">
      <c r="A46" s="2"/>
      <c r="D46" s="2"/>
    </row>
    <row r="47" spans="1:4" x14ac:dyDescent="0.25">
      <c r="A47" s="2"/>
      <c r="D47" s="2"/>
    </row>
    <row r="48" spans="1:4" x14ac:dyDescent="0.25">
      <c r="A48" s="2"/>
      <c r="D48" s="2"/>
    </row>
    <row r="49" spans="1:4" x14ac:dyDescent="0.25">
      <c r="A49" s="8"/>
      <c r="D49" s="2"/>
    </row>
    <row r="50" spans="1:4" x14ac:dyDescent="0.25">
      <c r="A50" s="8"/>
      <c r="D50" s="2"/>
    </row>
    <row r="51" spans="1:4" x14ac:dyDescent="0.25">
      <c r="A51" s="2"/>
      <c r="D51" s="2"/>
    </row>
    <row r="52" spans="1:4" x14ac:dyDescent="0.25">
      <c r="A52" s="2"/>
      <c r="D52" s="2"/>
    </row>
    <row r="53" spans="1:4" x14ac:dyDescent="0.25">
      <c r="A53" s="2"/>
      <c r="D53" s="2"/>
    </row>
    <row r="54" spans="1:4" x14ac:dyDescent="0.25">
      <c r="A54" s="2"/>
      <c r="D54" s="2"/>
    </row>
    <row r="55" spans="1:4" x14ac:dyDescent="0.25">
      <c r="A55" s="2"/>
      <c r="D55" s="2"/>
    </row>
    <row r="56" spans="1:4" x14ac:dyDescent="0.25">
      <c r="A56" s="2"/>
      <c r="D56" s="2"/>
    </row>
    <row r="57" spans="1:4" x14ac:dyDescent="0.25">
      <c r="A57" s="2"/>
      <c r="D57" s="2"/>
    </row>
    <row r="58" spans="1:4" x14ac:dyDescent="0.25">
      <c r="A58" s="2"/>
      <c r="D58" s="2"/>
    </row>
    <row r="59" spans="1:4" x14ac:dyDescent="0.25">
      <c r="A59" s="2"/>
      <c r="D59" s="2"/>
    </row>
    <row r="60" spans="1:4" x14ac:dyDescent="0.25">
      <c r="A60" s="2"/>
      <c r="D60" s="2"/>
    </row>
    <row r="61" spans="1:4" x14ac:dyDescent="0.25">
      <c r="A61" s="2"/>
      <c r="D61" s="2"/>
    </row>
    <row r="62" spans="1:4" x14ac:dyDescent="0.25">
      <c r="A62" s="2"/>
      <c r="D62" s="2"/>
    </row>
    <row r="63" spans="1:4" x14ac:dyDescent="0.25">
      <c r="A63" s="8"/>
      <c r="D63" s="2"/>
    </row>
    <row r="64" spans="1:4" x14ac:dyDescent="0.25">
      <c r="A64" s="8"/>
      <c r="D64" s="2"/>
    </row>
    <row r="65" spans="1:4" x14ac:dyDescent="0.25">
      <c r="A65" s="8"/>
      <c r="D65" s="2"/>
    </row>
    <row r="66" spans="1:4" x14ac:dyDescent="0.25">
      <c r="A66" s="8"/>
      <c r="D66" s="2"/>
    </row>
    <row r="67" spans="1:4" x14ac:dyDescent="0.25">
      <c r="A67" s="8"/>
      <c r="D67" s="2"/>
    </row>
    <row r="68" spans="1:4" x14ac:dyDescent="0.25">
      <c r="A68" s="8"/>
      <c r="D68" s="2"/>
    </row>
    <row r="69" spans="1:4" x14ac:dyDescent="0.25">
      <c r="A69" s="8"/>
      <c r="D69" s="2"/>
    </row>
    <row r="70" spans="1:4" x14ac:dyDescent="0.25">
      <c r="A70" s="8"/>
      <c r="D70" s="2"/>
    </row>
    <row r="71" spans="1:4" x14ac:dyDescent="0.25">
      <c r="A71" s="8"/>
      <c r="D71" s="2"/>
    </row>
    <row r="72" spans="1:4" x14ac:dyDescent="0.25">
      <c r="A72" s="8"/>
      <c r="D72" s="2"/>
    </row>
    <row r="73" spans="1:4" x14ac:dyDescent="0.25">
      <c r="A73" s="8"/>
      <c r="D73" s="2"/>
    </row>
    <row r="74" spans="1:4" x14ac:dyDescent="0.25">
      <c r="A74" s="8"/>
      <c r="D74" s="2"/>
    </row>
    <row r="75" spans="1:4" x14ac:dyDescent="0.25">
      <c r="A75" s="8"/>
      <c r="D75" s="2"/>
    </row>
    <row r="76" spans="1:4" x14ac:dyDescent="0.25">
      <c r="A76" s="8"/>
      <c r="D76" s="2"/>
    </row>
    <row r="77" spans="1:4" x14ac:dyDescent="0.25">
      <c r="A77" s="8"/>
      <c r="D77" s="2"/>
    </row>
    <row r="78" spans="1:4" x14ac:dyDescent="0.25">
      <c r="A78" s="8"/>
      <c r="D78" s="2"/>
    </row>
    <row r="79" spans="1:4" x14ac:dyDescent="0.25">
      <c r="A79" s="8"/>
      <c r="D79" s="2"/>
    </row>
    <row r="80" spans="1:4" x14ac:dyDescent="0.25">
      <c r="A80" s="8"/>
      <c r="D80" s="2"/>
    </row>
    <row r="81" spans="1:4" x14ac:dyDescent="0.25">
      <c r="A81" s="8"/>
      <c r="D81" s="2"/>
    </row>
    <row r="82" spans="1:4" x14ac:dyDescent="0.25">
      <c r="A82" s="8"/>
      <c r="D82" s="2"/>
    </row>
    <row r="83" spans="1:4" x14ac:dyDescent="0.25">
      <c r="A83" s="8"/>
      <c r="D83" s="2"/>
    </row>
    <row r="84" spans="1:4" x14ac:dyDescent="0.25">
      <c r="A84" s="8"/>
      <c r="D84" s="2"/>
    </row>
    <row r="85" spans="1:4" x14ac:dyDescent="0.25">
      <c r="A85" s="8"/>
      <c r="D85" s="2"/>
    </row>
    <row r="86" spans="1:4" x14ac:dyDescent="0.25">
      <c r="A86" s="8"/>
      <c r="D86" s="2"/>
    </row>
    <row r="87" spans="1:4" x14ac:dyDescent="0.25">
      <c r="A87" s="8"/>
      <c r="D87" s="2"/>
    </row>
    <row r="88" spans="1:4" x14ac:dyDescent="0.25">
      <c r="A88" s="8"/>
      <c r="D88" s="2"/>
    </row>
    <row r="89" spans="1:4" x14ac:dyDescent="0.25">
      <c r="A89" s="8"/>
      <c r="D89" s="2"/>
    </row>
    <row r="90" spans="1:4" x14ac:dyDescent="0.25">
      <c r="A90" s="8"/>
      <c r="D90" s="2"/>
    </row>
    <row r="91" spans="1:4" x14ac:dyDescent="0.25">
      <c r="A91" s="8"/>
      <c r="D91" s="2"/>
    </row>
    <row r="92" spans="1:4" x14ac:dyDescent="0.25">
      <c r="A92" s="8"/>
      <c r="D92" s="2"/>
    </row>
    <row r="93" spans="1:4" x14ac:dyDescent="0.25">
      <c r="A93" s="8"/>
      <c r="D93" s="2"/>
    </row>
    <row r="94" spans="1:4" x14ac:dyDescent="0.25">
      <c r="A94" s="8"/>
      <c r="D94" s="2"/>
    </row>
    <row r="95" spans="1:4" x14ac:dyDescent="0.25">
      <c r="A95" s="8"/>
      <c r="D95" s="2"/>
    </row>
    <row r="96" spans="1:4" x14ac:dyDescent="0.25">
      <c r="A96" s="8"/>
      <c r="D96" s="2"/>
    </row>
    <row r="97" spans="1:4" x14ac:dyDescent="0.25">
      <c r="A97" s="8"/>
      <c r="D97" s="2"/>
    </row>
    <row r="98" spans="1:4" x14ac:dyDescent="0.25">
      <c r="A98" s="8"/>
      <c r="D98" s="2"/>
    </row>
    <row r="99" spans="1:4" x14ac:dyDescent="0.25">
      <c r="A99" s="8"/>
      <c r="D99" s="2"/>
    </row>
    <row r="100" spans="1:4" x14ac:dyDescent="0.25">
      <c r="A100" s="8"/>
      <c r="D100" s="2"/>
    </row>
    <row r="101" spans="1:4" x14ac:dyDescent="0.25">
      <c r="A101" s="8"/>
      <c r="D101" s="2"/>
    </row>
    <row r="102" spans="1:4" x14ac:dyDescent="0.25">
      <c r="A102" s="8"/>
      <c r="D102" s="2"/>
    </row>
    <row r="103" spans="1:4" x14ac:dyDescent="0.25">
      <c r="A103" s="8"/>
      <c r="D103" s="2"/>
    </row>
    <row r="104" spans="1:4" x14ac:dyDescent="0.25">
      <c r="A104" s="8"/>
      <c r="D104" s="2"/>
    </row>
    <row r="105" spans="1:4" x14ac:dyDescent="0.25">
      <c r="A105" s="8"/>
      <c r="D105" s="2"/>
    </row>
    <row r="106" spans="1:4" x14ac:dyDescent="0.25">
      <c r="A106" s="8"/>
      <c r="D106" s="2"/>
    </row>
    <row r="107" spans="1:4" x14ac:dyDescent="0.25">
      <c r="A107" s="8"/>
      <c r="D107" s="2"/>
    </row>
    <row r="108" spans="1:4" x14ac:dyDescent="0.25">
      <c r="A108" s="8"/>
    </row>
    <row r="109" spans="1:4" x14ac:dyDescent="0.25">
      <c r="A109" s="8"/>
    </row>
    <row r="110" spans="1:4" x14ac:dyDescent="0.25">
      <c r="A110" s="8"/>
    </row>
    <row r="111" spans="1:4" x14ac:dyDescent="0.25">
      <c r="A111" s="8"/>
    </row>
    <row r="112" spans="1:4" x14ac:dyDescent="0.25">
      <c r="A112" s="8"/>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8"/>
    </row>
    <row r="144" spans="1:1" x14ac:dyDescent="0.25">
      <c r="A144" s="8"/>
    </row>
    <row r="145" spans="1:1" x14ac:dyDescent="0.25">
      <c r="A145" s="8"/>
    </row>
    <row r="146" spans="1:1" x14ac:dyDescent="0.25">
      <c r="A146" s="8"/>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8"/>
    </row>
    <row r="154" spans="1:1" x14ac:dyDescent="0.25">
      <c r="A154" s="8"/>
    </row>
    <row r="155" spans="1:1" x14ac:dyDescent="0.25">
      <c r="A155" s="8"/>
    </row>
    <row r="156" spans="1:1" x14ac:dyDescent="0.25">
      <c r="A156" s="8"/>
    </row>
    <row r="157" spans="1:1" x14ac:dyDescent="0.25">
      <c r="A157" s="8"/>
    </row>
    <row r="158" spans="1:1" x14ac:dyDescent="0.25">
      <c r="A158" s="8"/>
    </row>
    <row r="159" spans="1:1" x14ac:dyDescent="0.25">
      <c r="A159" s="8"/>
    </row>
    <row r="160" spans="1:1" x14ac:dyDescent="0.25">
      <c r="A160" s="8"/>
    </row>
    <row r="161" spans="1:1" x14ac:dyDescent="0.25">
      <c r="A161" s="8"/>
    </row>
    <row r="162" spans="1:1" x14ac:dyDescent="0.25">
      <c r="A162" s="8"/>
    </row>
  </sheetData>
  <sortState ref="D3:E6">
    <sortCondition descending="1" ref="E3:E6"/>
  </sortState>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8"/>
  <sheetViews>
    <sheetView workbookViewId="0"/>
  </sheetViews>
  <sheetFormatPr defaultRowHeight="15" x14ac:dyDescent="0.25"/>
  <cols>
    <col min="3" max="3" width="5.85546875" customWidth="1"/>
    <col min="4" max="4" width="11.28515625" bestFit="1" customWidth="1"/>
  </cols>
  <sheetData>
    <row r="1" spans="1:4" x14ac:dyDescent="0.25">
      <c r="A1" s="10" t="s">
        <v>357</v>
      </c>
    </row>
    <row r="3" spans="1:4" x14ac:dyDescent="0.25">
      <c r="A3" s="2"/>
      <c r="B3" s="2" t="s">
        <v>239</v>
      </c>
      <c r="C3" s="2" t="s">
        <v>240</v>
      </c>
      <c r="D3" s="2"/>
    </row>
    <row r="4" spans="1:4" x14ac:dyDescent="0.25">
      <c r="A4" s="2" t="s">
        <v>236</v>
      </c>
      <c r="B4" s="2">
        <v>39</v>
      </c>
      <c r="C4" s="2">
        <v>0</v>
      </c>
      <c r="D4" s="2"/>
    </row>
    <row r="5" spans="1:4" x14ac:dyDescent="0.25">
      <c r="A5" s="2" t="s">
        <v>237</v>
      </c>
      <c r="B5" s="2">
        <v>7</v>
      </c>
      <c r="C5" s="2">
        <v>4</v>
      </c>
      <c r="D5" s="2"/>
    </row>
    <row r="6" spans="1:4" x14ac:dyDescent="0.25">
      <c r="A6" s="2" t="s">
        <v>238</v>
      </c>
      <c r="B6" s="2">
        <v>87</v>
      </c>
      <c r="C6" s="2">
        <v>2</v>
      </c>
      <c r="D6" s="2"/>
    </row>
    <row r="7" spans="1:4" x14ac:dyDescent="0.25">
      <c r="A7" s="2" t="s">
        <v>215</v>
      </c>
      <c r="B7" s="2">
        <v>15</v>
      </c>
      <c r="C7" s="2">
        <v>2</v>
      </c>
      <c r="D7" s="2"/>
    </row>
    <row r="8" spans="1:4" x14ac:dyDescent="0.25">
      <c r="A8" s="2"/>
      <c r="B8" s="11">
        <f>SUM(B4:B7)</f>
        <v>148</v>
      </c>
      <c r="C8" s="2">
        <f>SUM(C4:C7)</f>
        <v>8</v>
      </c>
      <c r="D8" s="2">
        <f>SUM(B8:C8)</f>
        <v>156</v>
      </c>
    </row>
    <row r="9" spans="1:4" x14ac:dyDescent="0.25">
      <c r="A9" s="2"/>
      <c r="B9" s="2"/>
    </row>
    <row r="10" spans="1:4" x14ac:dyDescent="0.25">
      <c r="A10" s="2" t="s">
        <v>241</v>
      </c>
      <c r="B10" s="2"/>
    </row>
    <row r="11" spans="1:4" x14ac:dyDescent="0.25">
      <c r="A11" s="2" t="s">
        <v>242</v>
      </c>
      <c r="B11" s="2"/>
    </row>
    <row r="12" spans="1:4" x14ac:dyDescent="0.25">
      <c r="A12" s="2"/>
      <c r="B12" s="2"/>
    </row>
    <row r="13" spans="1:4" x14ac:dyDescent="0.25">
      <c r="A13" s="2"/>
      <c r="B13" s="2"/>
    </row>
    <row r="14" spans="1:4" x14ac:dyDescent="0.25">
      <c r="A14" s="2"/>
      <c r="B14" s="2"/>
    </row>
    <row r="15" spans="1:4" x14ac:dyDescent="0.25">
      <c r="A15" s="2"/>
      <c r="B15" s="2"/>
    </row>
    <row r="16" spans="1:4" x14ac:dyDescent="0.25">
      <c r="A16" s="2"/>
      <c r="B16" s="2"/>
    </row>
    <row r="17" spans="1:2" x14ac:dyDescent="0.25">
      <c r="A17" s="2"/>
      <c r="B17" s="2"/>
    </row>
    <row r="18" spans="1:2" x14ac:dyDescent="0.25">
      <c r="A18" s="2"/>
      <c r="B18" s="2"/>
    </row>
    <row r="19" spans="1:2" x14ac:dyDescent="0.25">
      <c r="A19" s="2"/>
      <c r="B19" s="2"/>
    </row>
    <row r="20" spans="1:2" x14ac:dyDescent="0.25">
      <c r="A20" s="2"/>
      <c r="B20" s="2"/>
    </row>
    <row r="21" spans="1:2" x14ac:dyDescent="0.25">
      <c r="A21" s="2"/>
      <c r="B21" s="2"/>
    </row>
    <row r="22" spans="1:2" x14ac:dyDescent="0.25">
      <c r="A22" s="2"/>
      <c r="B22" s="2"/>
    </row>
    <row r="23" spans="1:2" x14ac:dyDescent="0.25">
      <c r="A23" s="2"/>
      <c r="B23" s="2"/>
    </row>
    <row r="24" spans="1:2" x14ac:dyDescent="0.25">
      <c r="A24" s="2"/>
      <c r="B24" s="2"/>
    </row>
    <row r="25" spans="1:2" x14ac:dyDescent="0.25">
      <c r="A25" s="2"/>
      <c r="B25" s="2"/>
    </row>
    <row r="26" spans="1:2" x14ac:dyDescent="0.25">
      <c r="A26" s="2"/>
      <c r="B26" s="2"/>
    </row>
    <row r="27" spans="1:2" x14ac:dyDescent="0.25">
      <c r="A27" s="2"/>
      <c r="B27" s="3"/>
    </row>
    <row r="28" spans="1:2" x14ac:dyDescent="0.25">
      <c r="A28" s="2"/>
      <c r="B28" s="3"/>
    </row>
    <row r="29" spans="1:2" x14ac:dyDescent="0.25">
      <c r="A29" s="2"/>
      <c r="B29" s="2"/>
    </row>
    <row r="30" spans="1:2" x14ac:dyDescent="0.25">
      <c r="A30" s="2"/>
      <c r="B30" s="3"/>
    </row>
    <row r="31" spans="1:2" x14ac:dyDescent="0.25">
      <c r="A31" s="2"/>
      <c r="B31" s="3"/>
    </row>
    <row r="32" spans="1:2" x14ac:dyDescent="0.25">
      <c r="A32" s="2"/>
      <c r="B32" s="2"/>
    </row>
    <row r="33" spans="1:2" x14ac:dyDescent="0.25">
      <c r="A33" s="2"/>
      <c r="B33" s="2"/>
    </row>
    <row r="34" spans="1:2" x14ac:dyDescent="0.25">
      <c r="A34" s="2"/>
      <c r="B34" s="2"/>
    </row>
    <row r="35" spans="1:2" x14ac:dyDescent="0.25">
      <c r="A35" s="2"/>
      <c r="B35" s="2"/>
    </row>
    <row r="36" spans="1:2" x14ac:dyDescent="0.25">
      <c r="A36" s="2"/>
      <c r="B36" s="2"/>
    </row>
    <row r="37" spans="1:2" x14ac:dyDescent="0.25">
      <c r="A37" s="2"/>
      <c r="B37" s="2"/>
    </row>
    <row r="38" spans="1:2" x14ac:dyDescent="0.25">
      <c r="A38" s="2"/>
      <c r="B38" s="2"/>
    </row>
    <row r="39" spans="1:2" x14ac:dyDescent="0.25">
      <c r="A39" s="2"/>
      <c r="B39" s="2"/>
    </row>
    <row r="40" spans="1:2" x14ac:dyDescent="0.25">
      <c r="A40" s="2"/>
      <c r="B40" s="2"/>
    </row>
    <row r="41" spans="1:2" x14ac:dyDescent="0.25">
      <c r="A41" s="2"/>
    </row>
    <row r="42" spans="1:2" x14ac:dyDescent="0.25">
      <c r="A42" s="2"/>
      <c r="B42" s="2"/>
    </row>
    <row r="43" spans="1:2" x14ac:dyDescent="0.25">
      <c r="A43" s="2"/>
      <c r="B43" s="2"/>
    </row>
    <row r="44" spans="1:2" x14ac:dyDescent="0.25">
      <c r="A44" s="2"/>
      <c r="B44" s="2"/>
    </row>
    <row r="45" spans="1:2" x14ac:dyDescent="0.25">
      <c r="A45" s="2"/>
      <c r="B45" s="2"/>
    </row>
    <row r="46" spans="1:2" x14ac:dyDescent="0.25">
      <c r="A46" s="2"/>
      <c r="B46" s="2"/>
    </row>
    <row r="47" spans="1:2" x14ac:dyDescent="0.25">
      <c r="A47" s="2"/>
      <c r="B47" s="2"/>
    </row>
    <row r="48" spans="1:2" x14ac:dyDescent="0.25">
      <c r="A48" s="2"/>
      <c r="B48" s="2"/>
    </row>
    <row r="49" spans="1:2" x14ac:dyDescent="0.25">
      <c r="A49" s="2"/>
      <c r="B49" s="2"/>
    </row>
    <row r="50" spans="1:2" x14ac:dyDescent="0.25">
      <c r="A50" s="2"/>
      <c r="B50" s="2"/>
    </row>
    <row r="51" spans="1:2" x14ac:dyDescent="0.25">
      <c r="A51" s="2"/>
      <c r="B51" s="2"/>
    </row>
    <row r="52" spans="1:2" x14ac:dyDescent="0.25">
      <c r="A52" s="2"/>
      <c r="B52" s="2"/>
    </row>
    <row r="53" spans="1:2" x14ac:dyDescent="0.25">
      <c r="A53" s="2"/>
      <c r="B53" s="2"/>
    </row>
    <row r="54" spans="1:2" x14ac:dyDescent="0.25">
      <c r="A54" s="2"/>
      <c r="B54" s="2"/>
    </row>
    <row r="55" spans="1:2" x14ac:dyDescent="0.25">
      <c r="A55" s="2"/>
      <c r="B55" s="2"/>
    </row>
    <row r="56" spans="1:2" x14ac:dyDescent="0.25">
      <c r="A56" s="2"/>
      <c r="B56" s="2"/>
    </row>
    <row r="57" spans="1:2" x14ac:dyDescent="0.25">
      <c r="A57" s="2"/>
      <c r="B57" s="2"/>
    </row>
    <row r="58" spans="1:2" x14ac:dyDescent="0.25">
      <c r="A58" s="2"/>
      <c r="B58" s="2"/>
    </row>
    <row r="59" spans="1:2" x14ac:dyDescent="0.25">
      <c r="A59" s="2"/>
      <c r="B59" s="2"/>
    </row>
    <row r="60" spans="1:2" x14ac:dyDescent="0.25">
      <c r="A60" s="2"/>
      <c r="B60" s="2"/>
    </row>
    <row r="61" spans="1:2" x14ac:dyDescent="0.25">
      <c r="A61" s="2"/>
      <c r="B61" s="2"/>
    </row>
    <row r="62" spans="1:2" x14ac:dyDescent="0.25">
      <c r="A62" s="2"/>
      <c r="B62" s="2"/>
    </row>
    <row r="63" spans="1:2" x14ac:dyDescent="0.25">
      <c r="A63" s="2"/>
      <c r="B63" s="2"/>
    </row>
    <row r="64" spans="1:2" x14ac:dyDescent="0.25">
      <c r="A64" s="2"/>
      <c r="B64" s="2"/>
    </row>
    <row r="65" spans="1:2" x14ac:dyDescent="0.25">
      <c r="A65" s="2"/>
      <c r="B65" s="2"/>
    </row>
    <row r="66" spans="1:2" x14ac:dyDescent="0.25">
      <c r="A66" s="2"/>
      <c r="B66" s="2"/>
    </row>
    <row r="67" spans="1:2" x14ac:dyDescent="0.25">
      <c r="A67" s="2"/>
      <c r="B67" s="2"/>
    </row>
    <row r="68" spans="1:2" x14ac:dyDescent="0.25">
      <c r="A68" s="2"/>
      <c r="B68" s="2"/>
    </row>
    <row r="69" spans="1:2" x14ac:dyDescent="0.25">
      <c r="A69" s="2"/>
      <c r="B69" s="2"/>
    </row>
    <row r="70" spans="1:2" x14ac:dyDescent="0.25">
      <c r="A70" s="2"/>
      <c r="B70" s="2"/>
    </row>
    <row r="71" spans="1:2" x14ac:dyDescent="0.25">
      <c r="A71" s="2"/>
      <c r="B71" s="2"/>
    </row>
    <row r="72" spans="1:2" x14ac:dyDescent="0.25">
      <c r="A72" s="2"/>
      <c r="B72" s="2"/>
    </row>
    <row r="73" spans="1:2" x14ac:dyDescent="0.25">
      <c r="A73" s="2"/>
      <c r="B73" s="2"/>
    </row>
    <row r="74" spans="1:2" x14ac:dyDescent="0.25">
      <c r="A74" s="2"/>
      <c r="B74" s="2"/>
    </row>
    <row r="75" spans="1:2" x14ac:dyDescent="0.25">
      <c r="A75" s="2"/>
      <c r="B75" s="2"/>
    </row>
    <row r="76" spans="1:2" x14ac:dyDescent="0.25">
      <c r="A76" s="2"/>
      <c r="B76" s="2"/>
    </row>
    <row r="77" spans="1:2" x14ac:dyDescent="0.25">
      <c r="A77" s="2"/>
      <c r="B77" s="2"/>
    </row>
    <row r="78" spans="1:2" x14ac:dyDescent="0.25">
      <c r="A78" s="2"/>
      <c r="B78" s="2"/>
    </row>
    <row r="79" spans="1:2" x14ac:dyDescent="0.25">
      <c r="A79" s="2"/>
      <c r="B79" s="2"/>
    </row>
    <row r="80" spans="1:2" x14ac:dyDescent="0.25">
      <c r="A80" s="2"/>
      <c r="B80" s="2"/>
    </row>
    <row r="81" spans="1:2" x14ac:dyDescent="0.25">
      <c r="A81" s="2"/>
      <c r="B81" s="2"/>
    </row>
    <row r="82" spans="1:2" x14ac:dyDescent="0.25">
      <c r="A82" s="2"/>
      <c r="B82" s="2"/>
    </row>
    <row r="83" spans="1:2" x14ac:dyDescent="0.25">
      <c r="A83" s="2"/>
      <c r="B83" s="2"/>
    </row>
    <row r="84" spans="1:2" x14ac:dyDescent="0.25">
      <c r="A84" s="2"/>
      <c r="B84" s="2"/>
    </row>
    <row r="85" spans="1:2" x14ac:dyDescent="0.25">
      <c r="A85" s="2"/>
      <c r="B85" s="2"/>
    </row>
    <row r="86" spans="1:2" x14ac:dyDescent="0.25">
      <c r="A86" s="2"/>
      <c r="B86" s="2"/>
    </row>
    <row r="87" spans="1:2" x14ac:dyDescent="0.25">
      <c r="A87" s="2"/>
      <c r="B87" s="2"/>
    </row>
    <row r="88" spans="1:2" x14ac:dyDescent="0.25">
      <c r="A88" s="2"/>
      <c r="B88" s="2"/>
    </row>
    <row r="89" spans="1:2" x14ac:dyDescent="0.25">
      <c r="A89" s="2"/>
      <c r="B89" s="2"/>
    </row>
    <row r="90" spans="1:2" x14ac:dyDescent="0.25">
      <c r="A90" s="2"/>
      <c r="B90" s="2"/>
    </row>
    <row r="91" spans="1:2" x14ac:dyDescent="0.25">
      <c r="A91" s="2"/>
      <c r="B91" s="2"/>
    </row>
    <row r="92" spans="1:2" x14ac:dyDescent="0.25">
      <c r="A92" s="2"/>
      <c r="B92" s="2"/>
    </row>
    <row r="93" spans="1:2" x14ac:dyDescent="0.25">
      <c r="A93" s="2"/>
      <c r="B93" s="2"/>
    </row>
    <row r="94" spans="1:2" x14ac:dyDescent="0.25">
      <c r="A94" s="2"/>
      <c r="B94" s="2"/>
    </row>
    <row r="95" spans="1:2" x14ac:dyDescent="0.25">
      <c r="A95" s="2"/>
      <c r="B95" s="2"/>
    </row>
    <row r="96" spans="1:2" x14ac:dyDescent="0.25">
      <c r="A96" s="2"/>
      <c r="B96" s="2"/>
    </row>
    <row r="97" spans="1:2" x14ac:dyDescent="0.25">
      <c r="A97" s="2"/>
      <c r="B97" s="2"/>
    </row>
    <row r="98" spans="1:2" x14ac:dyDescent="0.25">
      <c r="A98" s="2"/>
      <c r="B98" s="2"/>
    </row>
    <row r="99" spans="1:2" x14ac:dyDescent="0.25">
      <c r="A99" s="2"/>
      <c r="B99" s="2"/>
    </row>
    <row r="100" spans="1:2" x14ac:dyDescent="0.25">
      <c r="A100" s="2"/>
      <c r="B100" s="2"/>
    </row>
    <row r="101" spans="1:2" x14ac:dyDescent="0.25">
      <c r="A101" s="2"/>
      <c r="B101" s="2"/>
    </row>
    <row r="102" spans="1:2" x14ac:dyDescent="0.25">
      <c r="A102" s="2"/>
      <c r="B102" s="2"/>
    </row>
    <row r="103" spans="1:2" x14ac:dyDescent="0.25">
      <c r="A103" s="2"/>
      <c r="B103" s="2"/>
    </row>
    <row r="104" spans="1:2" x14ac:dyDescent="0.25">
      <c r="A104" s="2"/>
      <c r="B104" s="2"/>
    </row>
    <row r="105" spans="1:2" x14ac:dyDescent="0.25">
      <c r="A105" s="2"/>
      <c r="B105" s="2"/>
    </row>
    <row r="106" spans="1:2" x14ac:dyDescent="0.25">
      <c r="A106" s="2"/>
      <c r="B106" s="2"/>
    </row>
    <row r="107" spans="1:2" x14ac:dyDescent="0.25">
      <c r="A107" s="2"/>
      <c r="B107" s="2"/>
    </row>
    <row r="108" spans="1:2" x14ac:dyDescent="0.25">
      <c r="A108" s="2"/>
      <c r="B108" s="2"/>
    </row>
    <row r="109" spans="1:2" x14ac:dyDescent="0.25">
      <c r="A109" s="2"/>
      <c r="B109" s="2"/>
    </row>
    <row r="110" spans="1:2" x14ac:dyDescent="0.25">
      <c r="A110" s="2"/>
      <c r="B110" s="2"/>
    </row>
    <row r="111" spans="1:2" x14ac:dyDescent="0.25">
      <c r="A111" s="2"/>
      <c r="B111" s="2"/>
    </row>
    <row r="112" spans="1:2" x14ac:dyDescent="0.25">
      <c r="A112" s="2"/>
      <c r="B112" s="2"/>
    </row>
    <row r="113" spans="1:2" x14ac:dyDescent="0.25">
      <c r="A113" s="2"/>
      <c r="B113" s="2"/>
    </row>
    <row r="114" spans="1:2" x14ac:dyDescent="0.25">
      <c r="A114" s="2"/>
      <c r="B114" s="2"/>
    </row>
    <row r="115" spans="1:2" x14ac:dyDescent="0.25">
      <c r="A115" s="2"/>
      <c r="B115" s="2"/>
    </row>
    <row r="116" spans="1:2" x14ac:dyDescent="0.25">
      <c r="A116" s="2"/>
      <c r="B116" s="2"/>
    </row>
    <row r="117" spans="1:2" x14ac:dyDescent="0.25">
      <c r="A117" s="2"/>
      <c r="B117" s="2"/>
    </row>
    <row r="118" spans="1:2" x14ac:dyDescent="0.25">
      <c r="A118" s="2"/>
      <c r="B118" s="2"/>
    </row>
    <row r="119" spans="1:2" x14ac:dyDescent="0.25">
      <c r="A119" s="2"/>
      <c r="B119" s="2"/>
    </row>
    <row r="120" spans="1:2" x14ac:dyDescent="0.25">
      <c r="A120" s="2"/>
      <c r="B120" s="2"/>
    </row>
    <row r="121" spans="1:2" x14ac:dyDescent="0.25">
      <c r="A121" s="2"/>
      <c r="B121" s="2"/>
    </row>
    <row r="122" spans="1:2" x14ac:dyDescent="0.25">
      <c r="A122" s="2"/>
      <c r="B122" s="2"/>
    </row>
    <row r="123" spans="1:2" x14ac:dyDescent="0.25">
      <c r="A123" s="2"/>
      <c r="B123" s="2"/>
    </row>
    <row r="124" spans="1:2" x14ac:dyDescent="0.25">
      <c r="A124" s="2"/>
      <c r="B124" s="2"/>
    </row>
    <row r="125" spans="1:2" x14ac:dyDescent="0.25">
      <c r="A125" s="2"/>
      <c r="B125" s="2"/>
    </row>
    <row r="126" spans="1:2" x14ac:dyDescent="0.25">
      <c r="A126" s="2"/>
      <c r="B126" s="2"/>
    </row>
    <row r="127" spans="1:2" x14ac:dyDescent="0.25">
      <c r="A127" s="2"/>
      <c r="B127" s="2"/>
    </row>
    <row r="128" spans="1:2" x14ac:dyDescent="0.25">
      <c r="A128" s="2"/>
      <c r="B128" s="2"/>
    </row>
    <row r="129" spans="1:2" x14ac:dyDescent="0.25">
      <c r="A129" s="2"/>
      <c r="B129" s="2"/>
    </row>
    <row r="130" spans="1:2" x14ac:dyDescent="0.25">
      <c r="A130" s="2"/>
      <c r="B130" s="2"/>
    </row>
    <row r="131" spans="1:2" x14ac:dyDescent="0.25">
      <c r="A131" s="2"/>
      <c r="B131" s="2"/>
    </row>
    <row r="132" spans="1:2" x14ac:dyDescent="0.25">
      <c r="A132" s="2"/>
      <c r="B132" s="2"/>
    </row>
    <row r="133" spans="1:2" x14ac:dyDescent="0.25">
      <c r="A133" s="2"/>
      <c r="B133" s="2"/>
    </row>
    <row r="134" spans="1:2" x14ac:dyDescent="0.25">
      <c r="A134" s="2"/>
      <c r="B134" s="2"/>
    </row>
    <row r="135" spans="1:2" x14ac:dyDescent="0.25">
      <c r="A135" s="2"/>
      <c r="B135" s="2"/>
    </row>
    <row r="136" spans="1:2" x14ac:dyDescent="0.25">
      <c r="A136" s="2"/>
      <c r="B136" s="2"/>
    </row>
    <row r="137" spans="1:2" x14ac:dyDescent="0.25">
      <c r="A137" s="2"/>
      <c r="B137" s="2"/>
    </row>
    <row r="138" spans="1:2" x14ac:dyDescent="0.25">
      <c r="A138" s="2"/>
      <c r="B138" s="2"/>
    </row>
    <row r="139" spans="1:2" x14ac:dyDescent="0.25">
      <c r="A139" s="2"/>
      <c r="B139" s="2"/>
    </row>
    <row r="140" spans="1:2" x14ac:dyDescent="0.25">
      <c r="A140" s="2"/>
      <c r="B140" s="2"/>
    </row>
    <row r="141" spans="1:2" x14ac:dyDescent="0.25">
      <c r="A141" s="2"/>
      <c r="B141" s="2"/>
    </row>
    <row r="142" spans="1:2" x14ac:dyDescent="0.25">
      <c r="A142" s="2"/>
      <c r="B142" s="2"/>
    </row>
    <row r="143" spans="1:2" x14ac:dyDescent="0.25">
      <c r="A143" s="2"/>
      <c r="B143" s="2"/>
    </row>
    <row r="144" spans="1:2" x14ac:dyDescent="0.25">
      <c r="A144" s="2"/>
      <c r="B144" s="2"/>
    </row>
    <row r="145" spans="1:2" x14ac:dyDescent="0.25">
      <c r="A145" s="2"/>
      <c r="B145" s="2"/>
    </row>
    <row r="146" spans="1:2" x14ac:dyDescent="0.25">
      <c r="A146" s="2"/>
      <c r="B146" s="2"/>
    </row>
    <row r="147" spans="1:2" x14ac:dyDescent="0.25">
      <c r="A147" s="2"/>
      <c r="B147" s="2"/>
    </row>
    <row r="148" spans="1:2" x14ac:dyDescent="0.25">
      <c r="A148" s="2"/>
      <c r="B148" s="2"/>
    </row>
    <row r="149" spans="1:2" x14ac:dyDescent="0.25">
      <c r="A149" s="2"/>
      <c r="B149" s="2"/>
    </row>
    <row r="150" spans="1:2" x14ac:dyDescent="0.25">
      <c r="A150" s="2"/>
      <c r="B150" s="2"/>
    </row>
    <row r="151" spans="1:2" x14ac:dyDescent="0.25">
      <c r="A151" s="2"/>
      <c r="B151" s="2"/>
    </row>
    <row r="152" spans="1:2" x14ac:dyDescent="0.25">
      <c r="A152" s="2"/>
      <c r="B152" s="2"/>
    </row>
    <row r="153" spans="1:2" x14ac:dyDescent="0.25">
      <c r="A153" s="2"/>
      <c r="B153" s="2"/>
    </row>
    <row r="154" spans="1:2" x14ac:dyDescent="0.25">
      <c r="A154" s="2"/>
      <c r="B154" s="2"/>
    </row>
    <row r="155" spans="1:2" x14ac:dyDescent="0.25">
      <c r="A155" s="2"/>
      <c r="B155" s="2"/>
    </row>
    <row r="156" spans="1:2" x14ac:dyDescent="0.25">
      <c r="A156" s="2"/>
      <c r="B156" s="2"/>
    </row>
    <row r="157" spans="1:2" x14ac:dyDescent="0.25">
      <c r="A157" s="2"/>
      <c r="B157" s="2"/>
    </row>
    <row r="158" spans="1:2" x14ac:dyDescent="0.25">
      <c r="A158" s="2"/>
      <c r="B158" s="2"/>
    </row>
  </sheetData>
  <sortState ref="A3:B158">
    <sortCondition ref="B3:B158"/>
    <sortCondition ref="A3:A158"/>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3"/>
  <sheetViews>
    <sheetView workbookViewId="0"/>
  </sheetViews>
  <sheetFormatPr defaultRowHeight="15" x14ac:dyDescent="0.25"/>
  <cols>
    <col min="1" max="1" width="18" customWidth="1"/>
    <col min="2" max="2" width="14.7109375" bestFit="1" customWidth="1"/>
    <col min="3" max="3" width="28.140625" bestFit="1" customWidth="1"/>
    <col min="5" max="5" width="2.140625" customWidth="1"/>
    <col min="6" max="6" width="22.85546875" customWidth="1"/>
    <col min="7" max="7" width="13.5703125" customWidth="1"/>
    <col min="8" max="8" width="13.28515625" bestFit="1" customWidth="1"/>
    <col min="9" max="11" width="12.28515625" bestFit="1" customWidth="1"/>
    <col min="22" max="22" width="6.7109375" customWidth="1"/>
    <col min="23" max="23" width="2.5703125" customWidth="1"/>
    <col min="24" max="24" width="10.7109375" bestFit="1" customWidth="1"/>
    <col min="25" max="25" width="6.5703125" customWidth="1"/>
    <col min="26" max="26" width="2.7109375" customWidth="1"/>
    <col min="28" max="28" width="6.28515625" customWidth="1"/>
    <col min="29" max="29" width="3.42578125" customWidth="1"/>
  </cols>
  <sheetData>
    <row r="1" spans="1:31" x14ac:dyDescent="0.25">
      <c r="A1" s="10" t="s">
        <v>359</v>
      </c>
    </row>
    <row r="2" spans="1:31" x14ac:dyDescent="0.25">
      <c r="A2" s="10" t="s">
        <v>360</v>
      </c>
    </row>
    <row r="4" spans="1:31" x14ac:dyDescent="0.25">
      <c r="A4" s="16" t="s">
        <v>243</v>
      </c>
      <c r="B4" s="16" t="s">
        <v>244</v>
      </c>
      <c r="C4" s="16" t="s">
        <v>245</v>
      </c>
      <c r="D4" s="16" t="s">
        <v>252</v>
      </c>
    </row>
    <row r="5" spans="1:31" x14ac:dyDescent="0.25">
      <c r="A5" s="2" t="s">
        <v>236</v>
      </c>
      <c r="B5" s="2" t="s">
        <v>110</v>
      </c>
      <c r="C5" s="14">
        <v>10000</v>
      </c>
      <c r="D5" s="3">
        <v>0</v>
      </c>
      <c r="E5" s="79"/>
      <c r="F5" s="2" t="s">
        <v>248</v>
      </c>
      <c r="U5" s="2" t="s">
        <v>236</v>
      </c>
      <c r="V5" s="3">
        <v>0</v>
      </c>
      <c r="X5" s="2" t="s">
        <v>237</v>
      </c>
      <c r="Y5" s="3">
        <v>7.6</v>
      </c>
      <c r="AA5" s="2" t="s">
        <v>238</v>
      </c>
      <c r="AB5" s="3">
        <v>0</v>
      </c>
      <c r="AD5" s="2" t="s">
        <v>215</v>
      </c>
      <c r="AE5" s="3">
        <v>0.1</v>
      </c>
    </row>
    <row r="6" spans="1:31" x14ac:dyDescent="0.25">
      <c r="A6" s="2" t="s">
        <v>236</v>
      </c>
      <c r="B6" s="2" t="s">
        <v>110</v>
      </c>
      <c r="C6" s="14">
        <v>10000</v>
      </c>
      <c r="D6" s="3">
        <v>1.5</v>
      </c>
      <c r="E6" s="79"/>
      <c r="F6" s="2" t="s">
        <v>253</v>
      </c>
      <c r="U6" s="2" t="s">
        <v>236</v>
      </c>
      <c r="V6" s="3">
        <v>0.3</v>
      </c>
      <c r="X6" s="2" t="s">
        <v>237</v>
      </c>
      <c r="Y6" s="3">
        <v>60</v>
      </c>
      <c r="AA6" s="2" t="s">
        <v>238</v>
      </c>
      <c r="AB6" s="3">
        <v>0</v>
      </c>
      <c r="AD6" s="2" t="s">
        <v>215</v>
      </c>
      <c r="AE6" s="3">
        <v>0.8</v>
      </c>
    </row>
    <row r="7" spans="1:31" x14ac:dyDescent="0.25">
      <c r="A7" s="2" t="s">
        <v>236</v>
      </c>
      <c r="B7" s="2" t="s">
        <v>110</v>
      </c>
      <c r="C7" s="14">
        <v>10000</v>
      </c>
      <c r="D7" s="3">
        <v>0.5</v>
      </c>
      <c r="E7" s="79"/>
      <c r="F7" s="2"/>
      <c r="U7" s="2" t="s">
        <v>236</v>
      </c>
      <c r="V7" s="3">
        <v>0.5</v>
      </c>
      <c r="X7" s="2" t="s">
        <v>237</v>
      </c>
      <c r="Y7" s="3">
        <v>70</v>
      </c>
      <c r="AA7" s="2" t="s">
        <v>238</v>
      </c>
      <c r="AB7" s="3">
        <v>0</v>
      </c>
      <c r="AD7" s="2" t="s">
        <v>215</v>
      </c>
      <c r="AE7" s="3">
        <v>1</v>
      </c>
    </row>
    <row r="8" spans="1:31" x14ac:dyDescent="0.25">
      <c r="A8" s="2" t="s">
        <v>236</v>
      </c>
      <c r="B8" s="2" t="s">
        <v>110</v>
      </c>
      <c r="C8" s="14">
        <v>10000</v>
      </c>
      <c r="D8" s="3">
        <v>0.8</v>
      </c>
      <c r="E8" s="79"/>
      <c r="F8" s="2" t="s">
        <v>110</v>
      </c>
      <c r="G8">
        <v>11</v>
      </c>
      <c r="U8" s="2" t="s">
        <v>236</v>
      </c>
      <c r="V8" s="3">
        <v>0.8</v>
      </c>
      <c r="X8" s="2" t="s">
        <v>237</v>
      </c>
      <c r="Y8" s="3">
        <v>80</v>
      </c>
      <c r="AA8" s="2" t="s">
        <v>238</v>
      </c>
      <c r="AB8" s="3">
        <v>0</v>
      </c>
      <c r="AD8" s="2" t="s">
        <v>215</v>
      </c>
      <c r="AE8" s="3">
        <v>2.6</v>
      </c>
    </row>
    <row r="9" spans="1:31" x14ac:dyDescent="0.25">
      <c r="A9" s="3" t="s">
        <v>236</v>
      </c>
      <c r="B9" s="3" t="s">
        <v>110</v>
      </c>
      <c r="C9" s="14">
        <v>10000</v>
      </c>
      <c r="D9" s="3">
        <v>2.1</v>
      </c>
      <c r="E9" s="79"/>
      <c r="F9" s="2" t="s">
        <v>122</v>
      </c>
      <c r="G9">
        <v>16</v>
      </c>
      <c r="U9" s="2" t="s">
        <v>236</v>
      </c>
      <c r="V9" s="3">
        <v>1</v>
      </c>
      <c r="X9" s="2" t="s">
        <v>237</v>
      </c>
      <c r="Y9" s="3">
        <v>350</v>
      </c>
      <c r="AA9" s="2" t="s">
        <v>238</v>
      </c>
      <c r="AB9" s="3">
        <v>0</v>
      </c>
      <c r="AD9" s="2" t="s">
        <v>215</v>
      </c>
      <c r="AE9" s="13">
        <v>3.7</v>
      </c>
    </row>
    <row r="10" spans="1:31" x14ac:dyDescent="0.25">
      <c r="A10" s="2" t="s">
        <v>238</v>
      </c>
      <c r="B10" s="2" t="s">
        <v>110</v>
      </c>
      <c r="C10" s="14">
        <v>10000</v>
      </c>
      <c r="D10" s="3">
        <v>0.6</v>
      </c>
      <c r="E10" s="79"/>
      <c r="F10" s="2" t="s">
        <v>112</v>
      </c>
      <c r="G10">
        <v>14</v>
      </c>
      <c r="U10" s="2" t="s">
        <v>236</v>
      </c>
      <c r="V10" s="3">
        <v>1.5</v>
      </c>
      <c r="AA10" s="2" t="s">
        <v>238</v>
      </c>
      <c r="AB10" s="3">
        <v>0</v>
      </c>
      <c r="AD10" s="2" t="s">
        <v>215</v>
      </c>
      <c r="AE10" s="3">
        <v>6</v>
      </c>
    </row>
    <row r="11" spans="1:31" x14ac:dyDescent="0.25">
      <c r="A11" s="2" t="s">
        <v>238</v>
      </c>
      <c r="B11" s="2" t="s">
        <v>110</v>
      </c>
      <c r="C11" s="14">
        <v>10000</v>
      </c>
      <c r="D11" s="3">
        <v>3.5</v>
      </c>
      <c r="E11" s="79"/>
      <c r="F11" s="2" t="s">
        <v>120</v>
      </c>
      <c r="G11">
        <v>27</v>
      </c>
      <c r="U11" s="2" t="s">
        <v>236</v>
      </c>
      <c r="V11" s="3">
        <v>1.9</v>
      </c>
      <c r="Y11">
        <f>SUM(Y5:Y10)</f>
        <v>567.6</v>
      </c>
      <c r="AA11" s="2" t="s">
        <v>238</v>
      </c>
      <c r="AB11" s="3">
        <v>0</v>
      </c>
      <c r="AD11" s="2" t="s">
        <v>215</v>
      </c>
      <c r="AE11" s="3">
        <v>30</v>
      </c>
    </row>
    <row r="12" spans="1:31" x14ac:dyDescent="0.25">
      <c r="A12" s="2" t="s">
        <v>238</v>
      </c>
      <c r="B12" s="2" t="s">
        <v>110</v>
      </c>
      <c r="C12" s="14">
        <v>10000</v>
      </c>
      <c r="D12" s="3">
        <v>0</v>
      </c>
      <c r="E12" s="79"/>
      <c r="F12" s="2" t="s">
        <v>118</v>
      </c>
      <c r="G12">
        <v>15</v>
      </c>
      <c r="U12" s="3" t="s">
        <v>236</v>
      </c>
      <c r="V12" s="3">
        <v>2.1</v>
      </c>
      <c r="AA12" s="2" t="s">
        <v>238</v>
      </c>
      <c r="AB12" s="3">
        <v>0</v>
      </c>
      <c r="AD12" s="3" t="s">
        <v>215</v>
      </c>
      <c r="AE12" s="3">
        <v>54.9</v>
      </c>
    </row>
    <row r="13" spans="1:31" x14ac:dyDescent="0.25">
      <c r="A13" s="2" t="s">
        <v>238</v>
      </c>
      <c r="B13" s="2" t="s">
        <v>110</v>
      </c>
      <c r="C13" s="14">
        <v>10000</v>
      </c>
      <c r="D13" s="3">
        <v>0</v>
      </c>
      <c r="E13" s="79"/>
      <c r="F13" s="2" t="s">
        <v>116</v>
      </c>
      <c r="G13">
        <v>38</v>
      </c>
      <c r="U13" s="2" t="s">
        <v>236</v>
      </c>
      <c r="V13" s="3">
        <v>3</v>
      </c>
      <c r="AA13" s="2" t="s">
        <v>238</v>
      </c>
      <c r="AB13" s="3">
        <v>0</v>
      </c>
      <c r="AD13" s="2" t="s">
        <v>215</v>
      </c>
      <c r="AE13" s="3">
        <v>55</v>
      </c>
    </row>
    <row r="14" spans="1:31" x14ac:dyDescent="0.25">
      <c r="A14" s="2" t="s">
        <v>238</v>
      </c>
      <c r="B14" s="2" t="s">
        <v>110</v>
      </c>
      <c r="C14" s="14">
        <v>10000</v>
      </c>
      <c r="D14" s="3">
        <v>1</v>
      </c>
      <c r="E14" s="79"/>
      <c r="F14" s="2" t="s">
        <v>114</v>
      </c>
      <c r="G14">
        <v>12</v>
      </c>
      <c r="U14" s="2" t="s">
        <v>236</v>
      </c>
      <c r="V14" s="3">
        <v>3.1</v>
      </c>
      <c r="AA14" s="2" t="s">
        <v>238</v>
      </c>
      <c r="AB14" s="3">
        <v>0</v>
      </c>
      <c r="AD14" s="2" t="s">
        <v>215</v>
      </c>
      <c r="AE14" s="3">
        <v>66.5</v>
      </c>
    </row>
    <row r="15" spans="1:31" x14ac:dyDescent="0.25">
      <c r="A15" s="2" t="s">
        <v>215</v>
      </c>
      <c r="B15" s="2" t="s">
        <v>110</v>
      </c>
      <c r="C15" s="14">
        <v>10000</v>
      </c>
      <c r="D15" s="3">
        <v>0.1</v>
      </c>
      <c r="E15" s="79"/>
      <c r="G15">
        <f>SUM(G8:G14)</f>
        <v>133</v>
      </c>
      <c r="U15" s="2" t="s">
        <v>236</v>
      </c>
      <c r="V15" s="3">
        <v>4</v>
      </c>
      <c r="AA15" s="2" t="s">
        <v>238</v>
      </c>
      <c r="AB15" s="3">
        <v>0</v>
      </c>
      <c r="AD15" s="2" t="s">
        <v>215</v>
      </c>
      <c r="AE15" s="3">
        <v>70</v>
      </c>
    </row>
    <row r="16" spans="1:31" x14ac:dyDescent="0.25">
      <c r="A16" s="2" t="s">
        <v>236</v>
      </c>
      <c r="B16" s="3" t="s">
        <v>122</v>
      </c>
      <c r="C16" s="14">
        <v>30000</v>
      </c>
      <c r="D16" s="3">
        <v>5</v>
      </c>
      <c r="E16" s="79"/>
      <c r="U16" s="2" t="s">
        <v>236</v>
      </c>
      <c r="V16" s="3">
        <v>4</v>
      </c>
      <c r="AA16" s="2" t="s">
        <v>238</v>
      </c>
      <c r="AB16" s="3">
        <v>0</v>
      </c>
      <c r="AD16" s="2" t="s">
        <v>215</v>
      </c>
      <c r="AE16" s="3">
        <v>130</v>
      </c>
    </row>
    <row r="17" spans="1:31" x14ac:dyDescent="0.25">
      <c r="A17" s="2" t="s">
        <v>236</v>
      </c>
      <c r="B17" s="3" t="s">
        <v>122</v>
      </c>
      <c r="C17" s="14">
        <v>30000</v>
      </c>
      <c r="D17" s="3">
        <v>0.3</v>
      </c>
      <c r="E17" s="79"/>
      <c r="U17" s="2" t="s">
        <v>236</v>
      </c>
      <c r="V17" s="3">
        <v>5</v>
      </c>
      <c r="AA17" s="2" t="s">
        <v>238</v>
      </c>
      <c r="AB17" s="3">
        <v>0</v>
      </c>
      <c r="AD17" s="2" t="s">
        <v>215</v>
      </c>
      <c r="AE17" s="3">
        <v>147</v>
      </c>
    </row>
    <row r="18" spans="1:31" x14ac:dyDescent="0.25">
      <c r="A18" s="2" t="s">
        <v>236</v>
      </c>
      <c r="B18" s="2" t="s">
        <v>122</v>
      </c>
      <c r="C18" s="14">
        <v>30000</v>
      </c>
      <c r="D18" s="3">
        <v>5</v>
      </c>
      <c r="E18" s="79"/>
      <c r="U18" s="2" t="s">
        <v>236</v>
      </c>
      <c r="V18" s="3">
        <v>5</v>
      </c>
      <c r="AA18" s="2" t="s">
        <v>238</v>
      </c>
      <c r="AB18" s="3">
        <v>0</v>
      </c>
      <c r="AD18" s="2" t="s">
        <v>215</v>
      </c>
      <c r="AE18" s="3">
        <v>149.5</v>
      </c>
    </row>
    <row r="19" spans="1:31" x14ac:dyDescent="0.25">
      <c r="A19" s="2" t="s">
        <v>236</v>
      </c>
      <c r="B19" s="2" t="s">
        <v>122</v>
      </c>
      <c r="C19" s="14">
        <v>30000</v>
      </c>
      <c r="D19" s="3">
        <v>3.1</v>
      </c>
      <c r="E19" s="79"/>
      <c r="U19" s="2" t="s">
        <v>236</v>
      </c>
      <c r="V19" s="3">
        <v>5</v>
      </c>
      <c r="AA19" s="2" t="s">
        <v>238</v>
      </c>
      <c r="AB19" s="3">
        <v>0</v>
      </c>
    </row>
    <row r="20" spans="1:31" x14ac:dyDescent="0.25">
      <c r="A20" s="2" t="s">
        <v>238</v>
      </c>
      <c r="B20" s="2" t="s">
        <v>122</v>
      </c>
      <c r="C20" s="14">
        <v>30000</v>
      </c>
      <c r="D20" s="3">
        <v>0</v>
      </c>
      <c r="E20" s="79"/>
      <c r="U20" s="2" t="s">
        <v>236</v>
      </c>
      <c r="V20" s="3">
        <v>5</v>
      </c>
      <c r="AA20" s="2" t="s">
        <v>238</v>
      </c>
      <c r="AB20" s="3">
        <v>0</v>
      </c>
      <c r="AE20">
        <f>SUM(AE5:AE19)</f>
        <v>717.1</v>
      </c>
    </row>
    <row r="21" spans="1:31" x14ac:dyDescent="0.25">
      <c r="A21" s="2" t="s">
        <v>238</v>
      </c>
      <c r="B21" s="2" t="s">
        <v>122</v>
      </c>
      <c r="C21" s="14">
        <v>30000</v>
      </c>
      <c r="D21" s="3">
        <v>0</v>
      </c>
      <c r="E21" s="79"/>
      <c r="G21" s="19" t="s">
        <v>567</v>
      </c>
      <c r="H21" s="19" t="s">
        <v>274</v>
      </c>
      <c r="I21" s="19" t="s">
        <v>295</v>
      </c>
      <c r="J21" s="19" t="s">
        <v>300</v>
      </c>
      <c r="U21" s="2" t="s">
        <v>236</v>
      </c>
      <c r="V21" s="3">
        <v>6</v>
      </c>
      <c r="AA21" s="2" t="s">
        <v>238</v>
      </c>
      <c r="AB21" s="3">
        <v>0.5</v>
      </c>
    </row>
    <row r="22" spans="1:31" x14ac:dyDescent="0.25">
      <c r="A22" s="2" t="s">
        <v>238</v>
      </c>
      <c r="B22" s="2" t="s">
        <v>122</v>
      </c>
      <c r="C22" s="14">
        <v>30000</v>
      </c>
      <c r="D22" s="3">
        <v>0</v>
      </c>
      <c r="E22" s="79"/>
      <c r="F22" s="2" t="s">
        <v>110</v>
      </c>
      <c r="G22">
        <v>5</v>
      </c>
      <c r="H22">
        <v>0</v>
      </c>
      <c r="I22">
        <v>5</v>
      </c>
      <c r="J22">
        <v>1</v>
      </c>
      <c r="K22">
        <f t="shared" ref="K22:K28" si="0">SUM(G22:J22)</f>
        <v>11</v>
      </c>
      <c r="U22" s="2" t="s">
        <v>236</v>
      </c>
      <c r="V22" s="3">
        <v>6.1</v>
      </c>
      <c r="AA22" s="2" t="s">
        <v>238</v>
      </c>
      <c r="AB22" s="3">
        <v>0.5</v>
      </c>
    </row>
    <row r="23" spans="1:31" x14ac:dyDescent="0.25">
      <c r="A23" s="2" t="s">
        <v>238</v>
      </c>
      <c r="B23" s="2" t="s">
        <v>122</v>
      </c>
      <c r="C23" s="14">
        <v>30000</v>
      </c>
      <c r="D23" s="3">
        <v>0</v>
      </c>
      <c r="E23" s="79"/>
      <c r="F23" s="2" t="s">
        <v>122</v>
      </c>
      <c r="G23">
        <v>4</v>
      </c>
      <c r="H23">
        <v>0</v>
      </c>
      <c r="I23">
        <v>10</v>
      </c>
      <c r="J23">
        <v>2</v>
      </c>
      <c r="K23" s="19">
        <f t="shared" si="0"/>
        <v>16</v>
      </c>
      <c r="U23" s="2" t="s">
        <v>236</v>
      </c>
      <c r="V23" s="3">
        <v>6.1</v>
      </c>
      <c r="AA23" s="2" t="s">
        <v>238</v>
      </c>
      <c r="AB23" s="3">
        <v>0.6</v>
      </c>
    </row>
    <row r="24" spans="1:31" x14ac:dyDescent="0.25">
      <c r="A24" s="2" t="s">
        <v>238</v>
      </c>
      <c r="B24" s="2" t="s">
        <v>122</v>
      </c>
      <c r="C24" s="14">
        <v>30000</v>
      </c>
      <c r="D24" s="3">
        <v>1</v>
      </c>
      <c r="E24" s="79"/>
      <c r="F24" s="2" t="s">
        <v>112</v>
      </c>
      <c r="G24">
        <v>3</v>
      </c>
      <c r="H24">
        <v>0</v>
      </c>
      <c r="I24">
        <v>10</v>
      </c>
      <c r="J24">
        <v>1</v>
      </c>
      <c r="K24" s="19">
        <f t="shared" si="0"/>
        <v>14</v>
      </c>
      <c r="U24" s="2" t="s">
        <v>236</v>
      </c>
      <c r="V24" s="3">
        <v>6.5</v>
      </c>
      <c r="AA24" s="2" t="s">
        <v>238</v>
      </c>
      <c r="AB24" s="3">
        <v>0.8</v>
      </c>
    </row>
    <row r="25" spans="1:31" x14ac:dyDescent="0.25">
      <c r="A25" s="2" t="s">
        <v>238</v>
      </c>
      <c r="B25" s="2" t="s">
        <v>122</v>
      </c>
      <c r="C25" s="14">
        <v>30000</v>
      </c>
      <c r="D25" s="3">
        <v>0</v>
      </c>
      <c r="E25" s="79"/>
      <c r="F25" s="2" t="s">
        <v>120</v>
      </c>
      <c r="G25">
        <v>8</v>
      </c>
      <c r="H25">
        <v>0</v>
      </c>
      <c r="I25">
        <v>17</v>
      </c>
      <c r="J25">
        <v>2</v>
      </c>
      <c r="K25" s="19">
        <f t="shared" si="0"/>
        <v>27</v>
      </c>
      <c r="U25" s="2" t="s">
        <v>236</v>
      </c>
      <c r="V25" s="3">
        <v>8</v>
      </c>
      <c r="AA25" s="2" t="s">
        <v>238</v>
      </c>
      <c r="AB25" s="3">
        <v>0.8</v>
      </c>
    </row>
    <row r="26" spans="1:31" x14ac:dyDescent="0.25">
      <c r="A26" s="2" t="s">
        <v>238</v>
      </c>
      <c r="B26" s="2" t="s">
        <v>122</v>
      </c>
      <c r="C26" s="14">
        <v>30000</v>
      </c>
      <c r="D26" s="3">
        <v>0</v>
      </c>
      <c r="E26" s="79"/>
      <c r="F26" s="2" t="s">
        <v>118</v>
      </c>
      <c r="G26">
        <v>5</v>
      </c>
      <c r="H26">
        <v>2</v>
      </c>
      <c r="I26">
        <v>8</v>
      </c>
      <c r="J26">
        <v>0</v>
      </c>
      <c r="K26">
        <f t="shared" si="0"/>
        <v>15</v>
      </c>
      <c r="U26" s="2" t="s">
        <v>236</v>
      </c>
      <c r="V26" s="3">
        <v>9</v>
      </c>
      <c r="AA26" s="2" t="s">
        <v>238</v>
      </c>
      <c r="AB26" s="3">
        <v>1</v>
      </c>
    </row>
    <row r="27" spans="1:31" x14ac:dyDescent="0.25">
      <c r="A27" s="2" t="s">
        <v>238</v>
      </c>
      <c r="B27" s="2" t="s">
        <v>122</v>
      </c>
      <c r="C27" s="14">
        <v>30000</v>
      </c>
      <c r="D27" s="3">
        <v>0.5</v>
      </c>
      <c r="E27" s="79"/>
      <c r="F27" s="2" t="s">
        <v>116</v>
      </c>
      <c r="G27">
        <v>11</v>
      </c>
      <c r="H27">
        <v>1</v>
      </c>
      <c r="I27">
        <v>23</v>
      </c>
      <c r="J27">
        <v>3</v>
      </c>
      <c r="K27">
        <f t="shared" si="0"/>
        <v>38</v>
      </c>
      <c r="U27" s="2" t="s">
        <v>236</v>
      </c>
      <c r="V27" s="3">
        <v>10.7</v>
      </c>
      <c r="AA27" s="2" t="s">
        <v>238</v>
      </c>
      <c r="AB27" s="3">
        <v>1</v>
      </c>
    </row>
    <row r="28" spans="1:31" x14ac:dyDescent="0.25">
      <c r="A28" s="2" t="s">
        <v>238</v>
      </c>
      <c r="B28" s="2" t="s">
        <v>122</v>
      </c>
      <c r="C28" s="14">
        <v>30000</v>
      </c>
      <c r="D28" s="3">
        <v>0.8</v>
      </c>
      <c r="E28" s="79"/>
      <c r="F28" s="2" t="s">
        <v>114</v>
      </c>
      <c r="G28">
        <v>1</v>
      </c>
      <c r="H28">
        <v>2</v>
      </c>
      <c r="I28">
        <v>4</v>
      </c>
      <c r="J28">
        <v>5</v>
      </c>
      <c r="K28">
        <f t="shared" si="0"/>
        <v>12</v>
      </c>
      <c r="U28" s="2" t="s">
        <v>236</v>
      </c>
      <c r="V28" s="3">
        <v>11</v>
      </c>
      <c r="AA28" s="2" t="s">
        <v>238</v>
      </c>
      <c r="AB28" s="3">
        <v>1</v>
      </c>
    </row>
    <row r="29" spans="1:31" x14ac:dyDescent="0.25">
      <c r="A29" s="2" t="s">
        <v>238</v>
      </c>
      <c r="B29" s="2" t="s">
        <v>122</v>
      </c>
      <c r="C29" s="14">
        <v>30000</v>
      </c>
      <c r="D29" s="3">
        <v>0</v>
      </c>
      <c r="E29" s="79"/>
      <c r="F29" s="19"/>
      <c r="G29">
        <f>SUM(G22:G28)</f>
        <v>37</v>
      </c>
      <c r="H29">
        <f>SUM(H22:H28)</f>
        <v>5</v>
      </c>
      <c r="I29">
        <f>SUM(I22:I28)</f>
        <v>77</v>
      </c>
      <c r="J29">
        <f>SUM(J22:J28)</f>
        <v>14</v>
      </c>
      <c r="K29">
        <f>SUM(K22:K28)</f>
        <v>133</v>
      </c>
      <c r="U29" s="2" t="s">
        <v>236</v>
      </c>
      <c r="V29" s="3">
        <v>12.5</v>
      </c>
      <c r="AA29" s="2" t="s">
        <v>238</v>
      </c>
      <c r="AB29" s="3">
        <v>1</v>
      </c>
    </row>
    <row r="30" spans="1:31" x14ac:dyDescent="0.25">
      <c r="A30" s="2" t="s">
        <v>215</v>
      </c>
      <c r="B30" s="2" t="s">
        <v>122</v>
      </c>
      <c r="C30" s="14">
        <v>30000</v>
      </c>
      <c r="D30" s="13">
        <v>3.7</v>
      </c>
      <c r="E30" s="79"/>
      <c r="U30" s="2" t="s">
        <v>236</v>
      </c>
      <c r="V30" s="3">
        <v>13</v>
      </c>
      <c r="AA30" s="2" t="s">
        <v>238</v>
      </c>
      <c r="AB30" s="3">
        <v>1.2</v>
      </c>
    </row>
    <row r="31" spans="1:31" x14ac:dyDescent="0.25">
      <c r="A31" s="2" t="s">
        <v>215</v>
      </c>
      <c r="B31" s="2" t="s">
        <v>122</v>
      </c>
      <c r="C31" s="14">
        <v>30000</v>
      </c>
      <c r="D31" s="3">
        <v>0.8</v>
      </c>
      <c r="E31" s="79"/>
      <c r="U31" s="2" t="s">
        <v>236</v>
      </c>
      <c r="V31" s="3">
        <v>16</v>
      </c>
      <c r="AA31" s="2" t="s">
        <v>238</v>
      </c>
      <c r="AB31" s="3">
        <v>1.5</v>
      </c>
    </row>
    <row r="32" spans="1:31" x14ac:dyDescent="0.25">
      <c r="A32" s="2" t="s">
        <v>236</v>
      </c>
      <c r="B32" s="2" t="s">
        <v>112</v>
      </c>
      <c r="C32" s="14">
        <v>75000</v>
      </c>
      <c r="D32" s="3">
        <v>4</v>
      </c>
      <c r="E32" s="79"/>
      <c r="U32" s="2" t="s">
        <v>236</v>
      </c>
      <c r="V32" s="3">
        <v>16.100000000000001</v>
      </c>
      <c r="AA32" s="2" t="s">
        <v>238</v>
      </c>
      <c r="AB32" s="3">
        <v>1.9</v>
      </c>
    </row>
    <row r="33" spans="1:28" x14ac:dyDescent="0.25">
      <c r="A33" s="2" t="s">
        <v>236</v>
      </c>
      <c r="B33" s="2" t="s">
        <v>112</v>
      </c>
      <c r="C33" s="14">
        <v>75000</v>
      </c>
      <c r="D33" s="3">
        <v>6.1</v>
      </c>
      <c r="E33" s="79"/>
      <c r="F33" s="19"/>
      <c r="G33" s="20">
        <v>2017</v>
      </c>
      <c r="H33" s="20">
        <v>2015</v>
      </c>
      <c r="I33" s="20">
        <v>2013</v>
      </c>
      <c r="J33" s="20">
        <v>2012</v>
      </c>
      <c r="U33" s="2" t="s">
        <v>236</v>
      </c>
      <c r="V33" s="3">
        <v>28</v>
      </c>
      <c r="AA33" s="2" t="s">
        <v>238</v>
      </c>
      <c r="AB33" s="3">
        <v>2</v>
      </c>
    </row>
    <row r="34" spans="1:28" x14ac:dyDescent="0.25">
      <c r="A34" s="2" t="s">
        <v>236</v>
      </c>
      <c r="B34" s="2" t="s">
        <v>112</v>
      </c>
      <c r="C34" s="14">
        <v>75000</v>
      </c>
      <c r="D34" s="3">
        <v>1.9</v>
      </c>
      <c r="E34" s="79"/>
      <c r="F34" s="19" t="s">
        <v>249</v>
      </c>
      <c r="G34" s="18">
        <f>C140</f>
        <v>330990000</v>
      </c>
      <c r="H34" s="18">
        <f>369640000</f>
        <v>369640000</v>
      </c>
      <c r="I34" s="21">
        <v>342815000</v>
      </c>
      <c r="J34" s="21">
        <v>342870000</v>
      </c>
      <c r="U34" s="2" t="s">
        <v>236</v>
      </c>
      <c r="V34" s="3">
        <v>30</v>
      </c>
      <c r="AA34" s="2" t="s">
        <v>238</v>
      </c>
      <c r="AB34" s="3">
        <v>2.4</v>
      </c>
    </row>
    <row r="35" spans="1:28" x14ac:dyDescent="0.25">
      <c r="A35" s="2" t="s">
        <v>238</v>
      </c>
      <c r="B35" s="2" t="s">
        <v>112</v>
      </c>
      <c r="C35" s="14">
        <v>75000</v>
      </c>
      <c r="D35" s="3">
        <v>0</v>
      </c>
      <c r="E35" s="79"/>
      <c r="F35" s="19" t="s">
        <v>250</v>
      </c>
      <c r="G35" s="18">
        <f>C142</f>
        <v>2488646.6165413535</v>
      </c>
      <c r="H35" s="18">
        <f>2933651</f>
        <v>2933651</v>
      </c>
      <c r="I35" s="21">
        <v>2397308</v>
      </c>
      <c r="J35" s="21">
        <v>2539778</v>
      </c>
      <c r="U35" s="2" t="s">
        <v>236</v>
      </c>
      <c r="V35" s="3">
        <v>37</v>
      </c>
      <c r="AA35" s="2" t="s">
        <v>238</v>
      </c>
      <c r="AB35" s="3">
        <v>2.4</v>
      </c>
    </row>
    <row r="36" spans="1:28" x14ac:dyDescent="0.25">
      <c r="A36" s="2" t="s">
        <v>238</v>
      </c>
      <c r="B36" s="2" t="s">
        <v>112</v>
      </c>
      <c r="C36" s="14">
        <v>75000</v>
      </c>
      <c r="D36" s="3">
        <v>0</v>
      </c>
      <c r="E36" s="79"/>
      <c r="F36" s="19" t="s">
        <v>251</v>
      </c>
      <c r="G36" s="21">
        <v>300000</v>
      </c>
      <c r="H36" s="21">
        <v>750000</v>
      </c>
      <c r="I36" s="21">
        <v>300000</v>
      </c>
      <c r="J36" s="21">
        <v>300000</v>
      </c>
      <c r="U36" s="2" t="s">
        <v>236</v>
      </c>
      <c r="V36" s="3">
        <v>39</v>
      </c>
      <c r="AA36" s="2" t="s">
        <v>238</v>
      </c>
      <c r="AB36" s="3">
        <v>2.5</v>
      </c>
    </row>
    <row r="37" spans="1:28" x14ac:dyDescent="0.25">
      <c r="A37" s="2" t="s">
        <v>238</v>
      </c>
      <c r="B37" s="2" t="s">
        <v>112</v>
      </c>
      <c r="C37" s="14">
        <v>75000</v>
      </c>
      <c r="D37" s="3">
        <v>0</v>
      </c>
      <c r="E37" s="79"/>
      <c r="U37" s="2" t="s">
        <v>236</v>
      </c>
      <c r="V37" s="3">
        <v>48</v>
      </c>
      <c r="AA37" s="2" t="s">
        <v>238</v>
      </c>
      <c r="AB37" s="3">
        <v>2.5</v>
      </c>
    </row>
    <row r="38" spans="1:28" x14ac:dyDescent="0.25">
      <c r="A38" s="2" t="s">
        <v>238</v>
      </c>
      <c r="B38" s="2" t="s">
        <v>112</v>
      </c>
      <c r="C38" s="14">
        <v>75000</v>
      </c>
      <c r="D38" s="3">
        <v>2.5</v>
      </c>
      <c r="E38" s="79"/>
      <c r="U38" s="2" t="s">
        <v>236</v>
      </c>
      <c r="V38" s="3">
        <v>48.5</v>
      </c>
      <c r="AA38" s="2" t="s">
        <v>238</v>
      </c>
      <c r="AB38" s="3">
        <v>2.6</v>
      </c>
    </row>
    <row r="39" spans="1:28" x14ac:dyDescent="0.25">
      <c r="A39" s="2" t="s">
        <v>238</v>
      </c>
      <c r="B39" s="2" t="s">
        <v>112</v>
      </c>
      <c r="C39" s="14">
        <v>75000</v>
      </c>
      <c r="D39" s="3">
        <v>0</v>
      </c>
      <c r="E39" s="79"/>
      <c r="F39" s="19"/>
      <c r="G39" s="20">
        <v>2017</v>
      </c>
      <c r="H39" s="20">
        <v>2015</v>
      </c>
      <c r="I39" s="20">
        <v>2013</v>
      </c>
      <c r="J39" s="20">
        <v>2012</v>
      </c>
      <c r="U39" s="2" t="s">
        <v>236</v>
      </c>
      <c r="V39" s="3">
        <v>65</v>
      </c>
      <c r="AA39" s="2" t="s">
        <v>238</v>
      </c>
      <c r="AB39" s="3">
        <v>2.7</v>
      </c>
    </row>
    <row r="40" spans="1:28" x14ac:dyDescent="0.25">
      <c r="A40" s="2" t="s">
        <v>238</v>
      </c>
      <c r="B40" s="2" t="s">
        <v>112</v>
      </c>
      <c r="C40" s="14">
        <v>75000</v>
      </c>
      <c r="D40" s="3">
        <v>2.6</v>
      </c>
      <c r="E40" s="79"/>
      <c r="F40" s="19" t="s">
        <v>255</v>
      </c>
      <c r="G40" s="25">
        <f>D140</f>
        <v>3516.8500000000004</v>
      </c>
      <c r="H40" s="25">
        <v>4233.6000000000004</v>
      </c>
      <c r="I40" s="25">
        <v>3119</v>
      </c>
      <c r="J40" s="25">
        <v>3476</v>
      </c>
      <c r="U40" s="2" t="s">
        <v>236</v>
      </c>
      <c r="V40" s="3">
        <v>185</v>
      </c>
      <c r="AA40" s="2" t="s">
        <v>238</v>
      </c>
      <c r="AB40" s="3">
        <v>2.8</v>
      </c>
    </row>
    <row r="41" spans="1:28" x14ac:dyDescent="0.25">
      <c r="A41" s="2" t="s">
        <v>238</v>
      </c>
      <c r="B41" s="2" t="s">
        <v>112</v>
      </c>
      <c r="C41" s="14">
        <v>75000</v>
      </c>
      <c r="D41" s="3">
        <v>1.2</v>
      </c>
      <c r="E41" s="79"/>
      <c r="F41" s="19" t="s">
        <v>256</v>
      </c>
      <c r="G41" s="25">
        <f>D142</f>
        <v>26.442481203007521</v>
      </c>
      <c r="H41" s="25">
        <v>34.1</v>
      </c>
      <c r="I41" s="25">
        <v>22</v>
      </c>
      <c r="J41" s="25">
        <v>40</v>
      </c>
      <c r="U41" s="2" t="s">
        <v>236</v>
      </c>
      <c r="V41" s="3">
        <v>200</v>
      </c>
      <c r="AA41" s="2" t="s">
        <v>238</v>
      </c>
      <c r="AB41" s="3">
        <v>3.3</v>
      </c>
    </row>
    <row r="42" spans="1:28" x14ac:dyDescent="0.25">
      <c r="A42" s="2" t="s">
        <v>238</v>
      </c>
      <c r="B42" s="2" t="s">
        <v>112</v>
      </c>
      <c r="C42" s="14">
        <v>75000</v>
      </c>
      <c r="D42" s="3">
        <v>0</v>
      </c>
      <c r="E42" s="79"/>
      <c r="F42" s="19" t="s">
        <v>251</v>
      </c>
      <c r="G42" s="25">
        <f>D143</f>
        <v>2.8</v>
      </c>
      <c r="H42" s="25">
        <v>4.5999999999999996</v>
      </c>
      <c r="I42" s="25">
        <v>7</v>
      </c>
      <c r="J42" s="25">
        <v>9</v>
      </c>
      <c r="AA42" s="2" t="s">
        <v>238</v>
      </c>
      <c r="AB42" s="3">
        <v>3.5</v>
      </c>
    </row>
    <row r="43" spans="1:28" x14ac:dyDescent="0.25">
      <c r="A43" s="2" t="s">
        <v>238</v>
      </c>
      <c r="B43" s="2" t="s">
        <v>112</v>
      </c>
      <c r="C43" s="14">
        <v>75000</v>
      </c>
      <c r="D43" s="3">
        <v>1.5</v>
      </c>
      <c r="E43" s="79"/>
      <c r="V43">
        <f>SUM(V5:V42)</f>
        <v>843.7</v>
      </c>
      <c r="AA43" s="2" t="s">
        <v>238</v>
      </c>
      <c r="AB43" s="3">
        <v>4</v>
      </c>
    </row>
    <row r="44" spans="1:28" x14ac:dyDescent="0.25">
      <c r="A44" s="2" t="s">
        <v>238</v>
      </c>
      <c r="B44" s="2" t="s">
        <v>112</v>
      </c>
      <c r="C44" s="14">
        <v>75000</v>
      </c>
      <c r="D44" s="3">
        <v>0</v>
      </c>
      <c r="E44" s="79"/>
      <c r="AA44" s="2" t="s">
        <v>238</v>
      </c>
      <c r="AB44" s="3">
        <v>4.5</v>
      </c>
    </row>
    <row r="45" spans="1:28" x14ac:dyDescent="0.25">
      <c r="A45" s="2" t="s">
        <v>215</v>
      </c>
      <c r="B45" s="2" t="s">
        <v>112</v>
      </c>
      <c r="C45" s="14">
        <v>75000</v>
      </c>
      <c r="D45" s="3">
        <v>1</v>
      </c>
      <c r="E45" s="79"/>
      <c r="F45" s="19" t="s">
        <v>567</v>
      </c>
      <c r="G45" s="25">
        <f>V43/37</f>
        <v>22.802702702702703</v>
      </c>
      <c r="AA45" s="2" t="s">
        <v>238</v>
      </c>
      <c r="AB45" s="3">
        <v>4.7</v>
      </c>
    </row>
    <row r="46" spans="1:28" x14ac:dyDescent="0.25">
      <c r="A46" s="2" t="s">
        <v>236</v>
      </c>
      <c r="B46" s="2" t="s">
        <v>120</v>
      </c>
      <c r="C46" s="14">
        <v>300000</v>
      </c>
      <c r="D46" s="3">
        <v>1</v>
      </c>
      <c r="E46" s="79"/>
      <c r="F46" s="19" t="s">
        <v>274</v>
      </c>
      <c r="G46" s="25">
        <f>Y11/5</f>
        <v>113.52000000000001</v>
      </c>
      <c r="AA46" s="2" t="s">
        <v>238</v>
      </c>
      <c r="AB46" s="3">
        <v>5</v>
      </c>
    </row>
    <row r="47" spans="1:28" x14ac:dyDescent="0.25">
      <c r="A47" s="2" t="s">
        <v>236</v>
      </c>
      <c r="B47" s="2" t="s">
        <v>120</v>
      </c>
      <c r="C47" s="14">
        <v>300000</v>
      </c>
      <c r="D47" s="3">
        <v>10.7</v>
      </c>
      <c r="E47" s="79"/>
      <c r="F47" s="19" t="s">
        <v>579</v>
      </c>
      <c r="G47" s="25">
        <f>AB80/74</f>
        <v>18.762837837837839</v>
      </c>
      <c r="AA47" s="2" t="s">
        <v>238</v>
      </c>
      <c r="AB47" s="3">
        <v>5.9</v>
      </c>
    </row>
    <row r="48" spans="1:28" x14ac:dyDescent="0.25">
      <c r="A48" s="2" t="s">
        <v>236</v>
      </c>
      <c r="B48" s="2" t="s">
        <v>120</v>
      </c>
      <c r="C48" s="14">
        <v>300000</v>
      </c>
      <c r="D48" s="3">
        <v>6.1</v>
      </c>
      <c r="E48" s="79"/>
      <c r="F48" s="19" t="s">
        <v>300</v>
      </c>
      <c r="G48" s="25">
        <f>AE20/14</f>
        <v>51.221428571428575</v>
      </c>
      <c r="AA48" s="2" t="s">
        <v>238</v>
      </c>
      <c r="AB48" s="3">
        <v>6</v>
      </c>
    </row>
    <row r="49" spans="1:28" x14ac:dyDescent="0.25">
      <c r="A49" s="2" t="s">
        <v>236</v>
      </c>
      <c r="B49" s="2" t="s">
        <v>120</v>
      </c>
      <c r="C49" s="14">
        <v>300000</v>
      </c>
      <c r="D49" s="3">
        <v>3</v>
      </c>
      <c r="E49" s="79"/>
      <c r="F49" s="19" t="s">
        <v>470</v>
      </c>
      <c r="G49">
        <v>26.4</v>
      </c>
      <c r="AA49" s="2" t="s">
        <v>238</v>
      </c>
      <c r="AB49" s="3">
        <v>6</v>
      </c>
    </row>
    <row r="50" spans="1:28" x14ac:dyDescent="0.25">
      <c r="A50" s="2" t="s">
        <v>236</v>
      </c>
      <c r="B50" s="2" t="s">
        <v>120</v>
      </c>
      <c r="C50" s="14">
        <v>300000</v>
      </c>
      <c r="D50" s="3">
        <v>11</v>
      </c>
      <c r="E50" s="79"/>
      <c r="F50" s="19" t="s">
        <v>251</v>
      </c>
      <c r="G50">
        <v>2.4</v>
      </c>
      <c r="AA50" s="2" t="s">
        <v>238</v>
      </c>
      <c r="AB50" s="3">
        <v>6</v>
      </c>
    </row>
    <row r="51" spans="1:28" x14ac:dyDescent="0.25">
      <c r="A51" s="2" t="s">
        <v>236</v>
      </c>
      <c r="B51" s="2" t="s">
        <v>120</v>
      </c>
      <c r="C51" s="14">
        <v>300000</v>
      </c>
      <c r="D51" s="3">
        <v>5</v>
      </c>
      <c r="E51" s="79"/>
      <c r="AA51" s="2" t="s">
        <v>238</v>
      </c>
      <c r="AB51" s="3">
        <v>6.25</v>
      </c>
    </row>
    <row r="52" spans="1:28" x14ac:dyDescent="0.25">
      <c r="A52" s="2" t="s">
        <v>236</v>
      </c>
      <c r="B52" s="2" t="s">
        <v>120</v>
      </c>
      <c r="C52" s="14">
        <v>300000</v>
      </c>
      <c r="D52" s="3">
        <v>4</v>
      </c>
      <c r="E52" s="79"/>
      <c r="AA52" s="2" t="s">
        <v>238</v>
      </c>
      <c r="AB52" s="3">
        <v>7</v>
      </c>
    </row>
    <row r="53" spans="1:28" x14ac:dyDescent="0.25">
      <c r="A53" s="2" t="s">
        <v>236</v>
      </c>
      <c r="B53" s="2" t="s">
        <v>120</v>
      </c>
      <c r="C53" s="14">
        <v>300000</v>
      </c>
      <c r="D53" s="3">
        <v>5</v>
      </c>
      <c r="E53" s="79"/>
      <c r="AA53" s="2" t="s">
        <v>238</v>
      </c>
      <c r="AB53" s="3">
        <v>7.6</v>
      </c>
    </row>
    <row r="54" spans="1:28" x14ac:dyDescent="0.25">
      <c r="A54" s="2" t="s">
        <v>238</v>
      </c>
      <c r="B54" s="2" t="s">
        <v>120</v>
      </c>
      <c r="C54" s="14">
        <v>300000</v>
      </c>
      <c r="D54" s="3">
        <v>0.8</v>
      </c>
      <c r="E54" s="79"/>
      <c r="AA54" s="2" t="s">
        <v>238</v>
      </c>
      <c r="AB54" s="3">
        <v>8</v>
      </c>
    </row>
    <row r="55" spans="1:28" x14ac:dyDescent="0.25">
      <c r="A55" s="2" t="s">
        <v>238</v>
      </c>
      <c r="B55" s="2" t="s">
        <v>120</v>
      </c>
      <c r="C55" s="14">
        <v>300000</v>
      </c>
      <c r="D55" s="3">
        <v>2</v>
      </c>
      <c r="E55" s="79"/>
      <c r="AA55" s="2" t="s">
        <v>238</v>
      </c>
      <c r="AB55" s="3">
        <v>9</v>
      </c>
    </row>
    <row r="56" spans="1:28" x14ac:dyDescent="0.25">
      <c r="A56" s="2" t="s">
        <v>238</v>
      </c>
      <c r="B56" s="2" t="s">
        <v>120</v>
      </c>
      <c r="C56" s="14">
        <v>300000</v>
      </c>
      <c r="D56" s="3">
        <v>4.7</v>
      </c>
      <c r="E56" s="79"/>
      <c r="AA56" s="2" t="s">
        <v>238</v>
      </c>
      <c r="AB56" s="3">
        <v>11</v>
      </c>
    </row>
    <row r="57" spans="1:28" x14ac:dyDescent="0.25">
      <c r="A57" s="2" t="s">
        <v>238</v>
      </c>
      <c r="B57" s="2" t="s">
        <v>120</v>
      </c>
      <c r="C57" s="14">
        <v>300000</v>
      </c>
      <c r="D57" s="3">
        <v>1.9</v>
      </c>
      <c r="E57" s="79"/>
      <c r="AA57" s="2" t="s">
        <v>238</v>
      </c>
      <c r="AB57" s="3">
        <v>12.5</v>
      </c>
    </row>
    <row r="58" spans="1:28" x14ac:dyDescent="0.25">
      <c r="A58" s="2" t="s">
        <v>238</v>
      </c>
      <c r="B58" s="2" t="s">
        <v>120</v>
      </c>
      <c r="C58" s="14">
        <v>300000</v>
      </c>
      <c r="D58" s="3">
        <v>0.5</v>
      </c>
      <c r="E58" s="79"/>
      <c r="AA58" s="2" t="s">
        <v>238</v>
      </c>
      <c r="AB58" s="3">
        <v>15</v>
      </c>
    </row>
    <row r="59" spans="1:28" x14ac:dyDescent="0.25">
      <c r="A59" s="2" t="s">
        <v>238</v>
      </c>
      <c r="B59" s="2" t="s">
        <v>120</v>
      </c>
      <c r="C59" s="14">
        <v>300000</v>
      </c>
      <c r="D59" s="3">
        <v>3.3</v>
      </c>
      <c r="E59" s="79"/>
      <c r="AA59" s="2" t="s">
        <v>238</v>
      </c>
      <c r="AB59" s="3">
        <v>16</v>
      </c>
    </row>
    <row r="60" spans="1:28" x14ac:dyDescent="0.25">
      <c r="A60" s="2" t="s">
        <v>238</v>
      </c>
      <c r="B60" s="2" t="s">
        <v>120</v>
      </c>
      <c r="C60" s="14">
        <v>300000</v>
      </c>
      <c r="D60" s="3">
        <v>2.4</v>
      </c>
      <c r="E60" s="79"/>
      <c r="AA60" s="2" t="s">
        <v>238</v>
      </c>
      <c r="AB60" s="3">
        <v>18</v>
      </c>
    </row>
    <row r="61" spans="1:28" x14ac:dyDescent="0.25">
      <c r="A61" s="2" t="s">
        <v>238</v>
      </c>
      <c r="B61" s="2" t="s">
        <v>120</v>
      </c>
      <c r="C61" s="14">
        <v>300000</v>
      </c>
      <c r="D61" s="3">
        <v>2.7</v>
      </c>
      <c r="E61" s="79"/>
      <c r="AA61" s="2" t="s">
        <v>238</v>
      </c>
      <c r="AB61" s="3">
        <v>20</v>
      </c>
    </row>
    <row r="62" spans="1:28" x14ac:dyDescent="0.25">
      <c r="A62" s="2" t="s">
        <v>238</v>
      </c>
      <c r="B62" s="2" t="s">
        <v>120</v>
      </c>
      <c r="C62" s="14">
        <v>300000</v>
      </c>
      <c r="D62" s="3">
        <v>5</v>
      </c>
      <c r="E62" s="79"/>
      <c r="AA62" s="2" t="s">
        <v>238</v>
      </c>
      <c r="AB62" s="3">
        <v>20</v>
      </c>
    </row>
    <row r="63" spans="1:28" x14ac:dyDescent="0.25">
      <c r="A63" s="2" t="s">
        <v>238</v>
      </c>
      <c r="B63" s="2" t="s">
        <v>120</v>
      </c>
      <c r="C63" s="14">
        <v>300000</v>
      </c>
      <c r="D63" s="3">
        <v>1</v>
      </c>
      <c r="E63" s="79"/>
      <c r="AA63" s="2" t="s">
        <v>238</v>
      </c>
      <c r="AB63" s="3">
        <v>24</v>
      </c>
    </row>
    <row r="64" spans="1:28" x14ac:dyDescent="0.25">
      <c r="A64" s="2" t="s">
        <v>238</v>
      </c>
      <c r="B64" s="2" t="s">
        <v>120</v>
      </c>
      <c r="C64" s="14">
        <v>300000</v>
      </c>
      <c r="D64" s="3">
        <v>2.4</v>
      </c>
      <c r="E64" s="79"/>
      <c r="AA64" s="2" t="s">
        <v>238</v>
      </c>
      <c r="AB64" s="3">
        <v>28</v>
      </c>
    </row>
    <row r="65" spans="1:28" x14ac:dyDescent="0.25">
      <c r="A65" s="2" t="s">
        <v>238</v>
      </c>
      <c r="B65" s="2" t="s">
        <v>120</v>
      </c>
      <c r="C65" s="14">
        <v>300000</v>
      </c>
      <c r="D65" s="3">
        <v>1</v>
      </c>
      <c r="E65" s="79"/>
      <c r="AA65" s="2" t="s">
        <v>238</v>
      </c>
      <c r="AB65" s="3">
        <v>28</v>
      </c>
    </row>
    <row r="66" spans="1:28" x14ac:dyDescent="0.25">
      <c r="A66" s="2" t="s">
        <v>238</v>
      </c>
      <c r="B66" s="2" t="s">
        <v>120</v>
      </c>
      <c r="C66" s="14">
        <v>300000</v>
      </c>
      <c r="D66" s="3">
        <v>2.5</v>
      </c>
      <c r="E66" s="79"/>
      <c r="AA66" s="2" t="s">
        <v>238</v>
      </c>
      <c r="AB66" s="3">
        <v>35</v>
      </c>
    </row>
    <row r="67" spans="1:28" x14ac:dyDescent="0.25">
      <c r="A67" s="2" t="s">
        <v>238</v>
      </c>
      <c r="B67" s="2" t="s">
        <v>120</v>
      </c>
      <c r="C67" s="14">
        <v>300000</v>
      </c>
      <c r="D67" s="3">
        <v>7.6</v>
      </c>
      <c r="E67" s="79"/>
      <c r="AA67" s="2" t="s">
        <v>238</v>
      </c>
      <c r="AB67" s="3">
        <v>36</v>
      </c>
    </row>
    <row r="68" spans="1:28" x14ac:dyDescent="0.25">
      <c r="A68" s="2" t="s">
        <v>238</v>
      </c>
      <c r="B68" s="2" t="s">
        <v>120</v>
      </c>
      <c r="C68" s="14">
        <v>300000</v>
      </c>
      <c r="D68" s="3">
        <v>0</v>
      </c>
      <c r="E68" s="79"/>
      <c r="AA68" s="2" t="s">
        <v>238</v>
      </c>
      <c r="AB68" s="3">
        <v>38</v>
      </c>
    </row>
    <row r="69" spans="1:28" x14ac:dyDescent="0.25">
      <c r="A69" s="2" t="s">
        <v>238</v>
      </c>
      <c r="B69" s="2" t="s">
        <v>120</v>
      </c>
      <c r="C69" s="14">
        <v>300000</v>
      </c>
      <c r="D69" s="3">
        <v>2.8</v>
      </c>
      <c r="E69" s="79"/>
      <c r="AA69" s="2" t="s">
        <v>238</v>
      </c>
      <c r="AB69" s="3">
        <v>45</v>
      </c>
    </row>
    <row r="70" spans="1:28" x14ac:dyDescent="0.25">
      <c r="A70" s="2" t="s">
        <v>238</v>
      </c>
      <c r="B70" s="2" t="s">
        <v>120</v>
      </c>
      <c r="C70" s="14">
        <v>300000</v>
      </c>
      <c r="D70" s="3">
        <v>6</v>
      </c>
      <c r="E70" s="79"/>
      <c r="AA70" s="2" t="s">
        <v>238</v>
      </c>
      <c r="AB70" s="3">
        <v>49.5</v>
      </c>
    </row>
    <row r="71" spans="1:28" x14ac:dyDescent="0.25">
      <c r="A71" s="2" t="s">
        <v>215</v>
      </c>
      <c r="B71" s="2" t="s">
        <v>120</v>
      </c>
      <c r="C71" s="14">
        <v>300000</v>
      </c>
      <c r="D71" s="3">
        <v>2.6</v>
      </c>
      <c r="E71" s="79"/>
      <c r="AA71" s="2" t="s">
        <v>238</v>
      </c>
      <c r="AB71" s="3">
        <v>60</v>
      </c>
    </row>
    <row r="72" spans="1:28" x14ac:dyDescent="0.25">
      <c r="A72" s="2" t="s">
        <v>215</v>
      </c>
      <c r="B72" s="2" t="s">
        <v>120</v>
      </c>
      <c r="C72" s="14">
        <v>300000</v>
      </c>
      <c r="D72" s="3">
        <v>6</v>
      </c>
      <c r="E72" s="79"/>
      <c r="AA72" s="2" t="s">
        <v>238</v>
      </c>
      <c r="AB72" s="3">
        <v>63.2</v>
      </c>
    </row>
    <row r="73" spans="1:28" x14ac:dyDescent="0.25">
      <c r="A73" s="2" t="s">
        <v>236</v>
      </c>
      <c r="B73" s="2" t="s">
        <v>118</v>
      </c>
      <c r="C73" s="14">
        <v>750000</v>
      </c>
      <c r="D73" s="3">
        <v>6</v>
      </c>
      <c r="E73" s="79"/>
      <c r="AA73" s="2" t="s">
        <v>238</v>
      </c>
      <c r="AB73" s="3">
        <v>65</v>
      </c>
    </row>
    <row r="74" spans="1:28" x14ac:dyDescent="0.25">
      <c r="A74" s="2" t="s">
        <v>236</v>
      </c>
      <c r="B74" s="2" t="s">
        <v>118</v>
      </c>
      <c r="C74" s="14">
        <v>750000</v>
      </c>
      <c r="D74" s="3">
        <v>6.5</v>
      </c>
      <c r="E74" s="79"/>
      <c r="AA74" s="2" t="s">
        <v>238</v>
      </c>
      <c r="AB74" s="3">
        <v>100</v>
      </c>
    </row>
    <row r="75" spans="1:28" x14ac:dyDescent="0.25">
      <c r="A75" s="2" t="s">
        <v>236</v>
      </c>
      <c r="B75" s="2" t="s">
        <v>118</v>
      </c>
      <c r="C75" s="14">
        <v>750000</v>
      </c>
      <c r="D75" s="3">
        <v>8</v>
      </c>
      <c r="E75" s="79"/>
      <c r="AA75" s="2" t="s">
        <v>238</v>
      </c>
      <c r="AB75" s="3">
        <v>100</v>
      </c>
    </row>
    <row r="76" spans="1:28" x14ac:dyDescent="0.25">
      <c r="A76" s="2" t="s">
        <v>236</v>
      </c>
      <c r="B76" s="2" t="s">
        <v>118</v>
      </c>
      <c r="C76" s="14">
        <v>750000</v>
      </c>
      <c r="D76" s="3">
        <v>9</v>
      </c>
      <c r="E76" s="79"/>
      <c r="AA76" s="3" t="s">
        <v>238</v>
      </c>
      <c r="AB76" s="3">
        <v>106.8</v>
      </c>
    </row>
    <row r="77" spans="1:28" x14ac:dyDescent="0.25">
      <c r="A77" s="2" t="s">
        <v>236</v>
      </c>
      <c r="B77" s="2" t="s">
        <v>118</v>
      </c>
      <c r="C77" s="14">
        <v>750000</v>
      </c>
      <c r="D77" s="3">
        <v>12.5</v>
      </c>
      <c r="E77" s="79"/>
      <c r="AA77" s="2" t="s">
        <v>238</v>
      </c>
      <c r="AB77" s="3">
        <v>139</v>
      </c>
    </row>
    <row r="78" spans="1:28" x14ac:dyDescent="0.25">
      <c r="A78" s="2" t="s">
        <v>237</v>
      </c>
      <c r="B78" s="2" t="s">
        <v>118</v>
      </c>
      <c r="C78" s="14">
        <v>750000</v>
      </c>
      <c r="D78" s="3">
        <v>70</v>
      </c>
      <c r="E78" s="79"/>
      <c r="AA78" s="2" t="s">
        <v>238</v>
      </c>
      <c r="AB78" s="3">
        <v>240</v>
      </c>
    </row>
    <row r="79" spans="1:28" x14ac:dyDescent="0.25">
      <c r="A79" s="2" t="s">
        <v>237</v>
      </c>
      <c r="B79" s="2" t="s">
        <v>118</v>
      </c>
      <c r="C79" s="14">
        <v>750000</v>
      </c>
      <c r="D79" s="3">
        <v>7.6</v>
      </c>
      <c r="E79" s="79"/>
      <c r="AA79" s="2"/>
      <c r="AB79" s="3"/>
    </row>
    <row r="80" spans="1:28" x14ac:dyDescent="0.25">
      <c r="A80" s="2" t="s">
        <v>238</v>
      </c>
      <c r="B80" s="2" t="s">
        <v>118</v>
      </c>
      <c r="C80" s="14">
        <v>750000</v>
      </c>
      <c r="D80" s="3">
        <v>4</v>
      </c>
      <c r="E80" s="79"/>
      <c r="AA80" s="2"/>
      <c r="AB80">
        <f>SUM(AB5:AB78)</f>
        <v>1388.45</v>
      </c>
    </row>
    <row r="81" spans="1:28" x14ac:dyDescent="0.25">
      <c r="A81" s="2" t="s">
        <v>238</v>
      </c>
      <c r="B81" s="2" t="s">
        <v>118</v>
      </c>
      <c r="C81" s="14">
        <v>750000</v>
      </c>
      <c r="D81" s="3">
        <v>5.9</v>
      </c>
      <c r="E81" s="79"/>
      <c r="AA81" s="2"/>
      <c r="AB81" s="3"/>
    </row>
    <row r="82" spans="1:28" x14ac:dyDescent="0.25">
      <c r="A82" s="2" t="s">
        <v>238</v>
      </c>
      <c r="B82" s="2" t="s">
        <v>118</v>
      </c>
      <c r="C82" s="14">
        <v>750000</v>
      </c>
      <c r="D82" s="3">
        <v>16</v>
      </c>
      <c r="E82" s="79"/>
    </row>
    <row r="83" spans="1:28" x14ac:dyDescent="0.25">
      <c r="A83" s="2" t="s">
        <v>238</v>
      </c>
      <c r="B83" s="2" t="s">
        <v>118</v>
      </c>
      <c r="C83" s="14">
        <v>750000</v>
      </c>
      <c r="D83" s="3">
        <v>8</v>
      </c>
      <c r="E83" s="79"/>
    </row>
    <row r="84" spans="1:28" x14ac:dyDescent="0.25">
      <c r="A84" s="2" t="s">
        <v>238</v>
      </c>
      <c r="B84" s="2" t="s">
        <v>118</v>
      </c>
      <c r="C84" s="14">
        <v>750000</v>
      </c>
      <c r="D84" s="3">
        <v>6</v>
      </c>
      <c r="E84" s="79"/>
    </row>
    <row r="85" spans="1:28" x14ac:dyDescent="0.25">
      <c r="A85" s="2" t="s">
        <v>238</v>
      </c>
      <c r="B85" s="2" t="s">
        <v>118</v>
      </c>
      <c r="C85" s="14">
        <v>750000</v>
      </c>
      <c r="D85" s="3">
        <v>6</v>
      </c>
      <c r="E85" s="79"/>
    </row>
    <row r="86" spans="1:28" x14ac:dyDescent="0.25">
      <c r="A86" s="2" t="s">
        <v>238</v>
      </c>
      <c r="B86" s="2" t="s">
        <v>118</v>
      </c>
      <c r="C86" s="14">
        <v>750000</v>
      </c>
      <c r="D86" s="3">
        <v>7</v>
      </c>
      <c r="E86" s="79"/>
    </row>
    <row r="87" spans="1:28" x14ac:dyDescent="0.25">
      <c r="A87" s="2" t="s">
        <v>238</v>
      </c>
      <c r="B87" s="2" t="s">
        <v>118</v>
      </c>
      <c r="C87" s="14">
        <v>750000</v>
      </c>
      <c r="D87" s="3">
        <v>4.5</v>
      </c>
      <c r="E87" s="79"/>
    </row>
    <row r="88" spans="1:28" x14ac:dyDescent="0.25">
      <c r="A88" s="2" t="s">
        <v>236</v>
      </c>
      <c r="B88" s="2" t="s">
        <v>116</v>
      </c>
      <c r="C88" s="14">
        <v>5000000</v>
      </c>
      <c r="D88" s="3">
        <v>30</v>
      </c>
      <c r="E88" s="79"/>
    </row>
    <row r="89" spans="1:28" x14ac:dyDescent="0.25">
      <c r="A89" s="2" t="s">
        <v>236</v>
      </c>
      <c r="B89" s="2" t="s">
        <v>116</v>
      </c>
      <c r="C89" s="14">
        <v>5000000</v>
      </c>
      <c r="D89" s="3">
        <v>39</v>
      </c>
      <c r="E89" s="79"/>
    </row>
    <row r="90" spans="1:28" x14ac:dyDescent="0.25">
      <c r="A90" s="2" t="s">
        <v>236</v>
      </c>
      <c r="B90" s="2" t="s">
        <v>116</v>
      </c>
      <c r="C90" s="14">
        <v>5000000</v>
      </c>
      <c r="D90" s="3">
        <v>48</v>
      </c>
      <c r="E90" s="79"/>
    </row>
    <row r="91" spans="1:28" x14ac:dyDescent="0.25">
      <c r="A91" s="2" t="s">
        <v>236</v>
      </c>
      <c r="B91" s="2" t="s">
        <v>116</v>
      </c>
      <c r="C91" s="14">
        <v>5000000</v>
      </c>
      <c r="D91" s="3">
        <v>37</v>
      </c>
      <c r="E91" s="79"/>
    </row>
    <row r="92" spans="1:28" x14ac:dyDescent="0.25">
      <c r="A92" s="2" t="s">
        <v>236</v>
      </c>
      <c r="B92" s="3" t="s">
        <v>116</v>
      </c>
      <c r="C92" s="14">
        <v>5000000</v>
      </c>
      <c r="D92" s="3">
        <v>16</v>
      </c>
      <c r="E92" s="79"/>
    </row>
    <row r="93" spans="1:28" x14ac:dyDescent="0.25">
      <c r="A93" s="2" t="s">
        <v>236</v>
      </c>
      <c r="B93" s="3" t="s">
        <v>116</v>
      </c>
      <c r="C93" s="14">
        <v>5000000</v>
      </c>
      <c r="D93" s="3">
        <v>48.5</v>
      </c>
      <c r="E93" s="79"/>
    </row>
    <row r="94" spans="1:28" x14ac:dyDescent="0.25">
      <c r="A94" s="2" t="s">
        <v>236</v>
      </c>
      <c r="B94" s="2" t="s">
        <v>116</v>
      </c>
      <c r="C94" s="14">
        <v>5000000</v>
      </c>
      <c r="D94" s="3">
        <v>200</v>
      </c>
      <c r="E94" s="79"/>
    </row>
    <row r="95" spans="1:28" x14ac:dyDescent="0.25">
      <c r="A95" s="2" t="s">
        <v>236</v>
      </c>
      <c r="B95" s="2" t="s">
        <v>116</v>
      </c>
      <c r="C95" s="14">
        <v>5000000</v>
      </c>
      <c r="D95" s="3">
        <v>28</v>
      </c>
      <c r="E95" s="79"/>
    </row>
    <row r="96" spans="1:28" x14ac:dyDescent="0.25">
      <c r="A96" s="2" t="s">
        <v>236</v>
      </c>
      <c r="B96" s="2" t="s">
        <v>116</v>
      </c>
      <c r="C96" s="14">
        <v>5000000</v>
      </c>
      <c r="D96" s="3">
        <v>65</v>
      </c>
      <c r="E96" s="79"/>
    </row>
    <row r="97" spans="1:5" x14ac:dyDescent="0.25">
      <c r="A97" s="2" t="s">
        <v>236</v>
      </c>
      <c r="B97" s="2" t="s">
        <v>116</v>
      </c>
      <c r="C97" s="14">
        <v>5000000</v>
      </c>
      <c r="D97" s="3">
        <v>13</v>
      </c>
      <c r="E97" s="79"/>
    </row>
    <row r="98" spans="1:5" x14ac:dyDescent="0.25">
      <c r="A98" s="2" t="s">
        <v>236</v>
      </c>
      <c r="B98" s="2" t="s">
        <v>116</v>
      </c>
      <c r="C98" s="14">
        <v>5000000</v>
      </c>
      <c r="D98" s="3">
        <v>16.100000000000001</v>
      </c>
      <c r="E98" s="79"/>
    </row>
    <row r="99" spans="1:5" x14ac:dyDescent="0.25">
      <c r="A99" s="2" t="s">
        <v>237</v>
      </c>
      <c r="B99" s="2" t="s">
        <v>116</v>
      </c>
      <c r="C99" s="14">
        <v>5000000</v>
      </c>
      <c r="D99" s="3">
        <v>60</v>
      </c>
      <c r="E99" s="79"/>
    </row>
    <row r="100" spans="1:5" x14ac:dyDescent="0.25">
      <c r="A100" s="2" t="s">
        <v>238</v>
      </c>
      <c r="B100" s="2" t="s">
        <v>116</v>
      </c>
      <c r="C100" s="14">
        <v>5000000</v>
      </c>
      <c r="D100" s="3">
        <v>20</v>
      </c>
      <c r="E100" s="79"/>
    </row>
    <row r="101" spans="1:5" x14ac:dyDescent="0.25">
      <c r="A101" s="2" t="s">
        <v>238</v>
      </c>
      <c r="B101" s="2" t="s">
        <v>116</v>
      </c>
      <c r="C101" s="14">
        <v>5000000</v>
      </c>
      <c r="D101" s="3"/>
      <c r="E101" s="79"/>
    </row>
    <row r="102" spans="1:5" x14ac:dyDescent="0.25">
      <c r="A102" s="2" t="s">
        <v>238</v>
      </c>
      <c r="B102" s="2" t="s">
        <v>116</v>
      </c>
      <c r="C102" s="14">
        <v>5000000</v>
      </c>
      <c r="D102" s="3">
        <v>20</v>
      </c>
      <c r="E102" s="79"/>
    </row>
    <row r="103" spans="1:5" x14ac:dyDescent="0.25">
      <c r="A103" s="2" t="s">
        <v>238</v>
      </c>
      <c r="B103" s="2" t="s">
        <v>116</v>
      </c>
      <c r="C103" s="14">
        <v>5000000</v>
      </c>
      <c r="D103" s="3">
        <v>18</v>
      </c>
      <c r="E103" s="79"/>
    </row>
    <row r="104" spans="1:5" x14ac:dyDescent="0.25">
      <c r="A104" s="2" t="s">
        <v>238</v>
      </c>
      <c r="B104" s="2" t="s">
        <v>116</v>
      </c>
      <c r="C104" s="14">
        <v>5000000</v>
      </c>
      <c r="D104" s="3">
        <v>49.5</v>
      </c>
      <c r="E104" s="79"/>
    </row>
    <row r="105" spans="1:5" x14ac:dyDescent="0.25">
      <c r="A105" s="2" t="s">
        <v>238</v>
      </c>
      <c r="B105" s="2" t="s">
        <v>116</v>
      </c>
      <c r="C105" s="14">
        <v>5000000</v>
      </c>
      <c r="D105" s="3">
        <v>6.25</v>
      </c>
      <c r="E105" s="79"/>
    </row>
    <row r="106" spans="1:5" x14ac:dyDescent="0.25">
      <c r="A106" s="2" t="s">
        <v>238</v>
      </c>
      <c r="B106" s="2" t="s">
        <v>116</v>
      </c>
      <c r="C106" s="14">
        <v>5000000</v>
      </c>
      <c r="D106" s="3">
        <v>100</v>
      </c>
      <c r="E106" s="79"/>
    </row>
    <row r="107" spans="1:5" x14ac:dyDescent="0.25">
      <c r="A107" s="2" t="s">
        <v>238</v>
      </c>
      <c r="B107" s="2" t="s">
        <v>116</v>
      </c>
      <c r="C107" s="14">
        <v>5000000</v>
      </c>
      <c r="D107" s="3">
        <v>28</v>
      </c>
      <c r="E107" s="79"/>
    </row>
    <row r="108" spans="1:5" x14ac:dyDescent="0.25">
      <c r="A108" s="2" t="s">
        <v>238</v>
      </c>
      <c r="B108" s="2" t="s">
        <v>116</v>
      </c>
      <c r="C108" s="14">
        <v>5000000</v>
      </c>
      <c r="D108" s="3">
        <v>60</v>
      </c>
      <c r="E108" s="79"/>
    </row>
    <row r="109" spans="1:5" x14ac:dyDescent="0.25">
      <c r="A109" s="2" t="s">
        <v>238</v>
      </c>
      <c r="B109" s="2" t="s">
        <v>116</v>
      </c>
      <c r="C109" s="14">
        <v>5000000</v>
      </c>
      <c r="D109" s="3">
        <v>15</v>
      </c>
      <c r="E109" s="79"/>
    </row>
    <row r="110" spans="1:5" x14ac:dyDescent="0.25">
      <c r="A110" s="2" t="s">
        <v>238</v>
      </c>
      <c r="B110" s="2" t="s">
        <v>116</v>
      </c>
      <c r="C110" s="14">
        <v>5000000</v>
      </c>
      <c r="D110" s="3">
        <v>63.2</v>
      </c>
      <c r="E110" s="79"/>
    </row>
    <row r="111" spans="1:5" x14ac:dyDescent="0.25">
      <c r="A111" s="2" t="s">
        <v>238</v>
      </c>
      <c r="B111" s="2" t="s">
        <v>116</v>
      </c>
      <c r="C111" s="14">
        <v>5000000</v>
      </c>
      <c r="D111" s="3">
        <v>36</v>
      </c>
      <c r="E111" s="79"/>
    </row>
    <row r="112" spans="1:5" x14ac:dyDescent="0.25">
      <c r="A112" s="2" t="s">
        <v>238</v>
      </c>
      <c r="B112" s="2" t="s">
        <v>116</v>
      </c>
      <c r="C112" s="14">
        <v>5000000</v>
      </c>
      <c r="D112" s="3">
        <v>12.5</v>
      </c>
      <c r="E112" s="79"/>
    </row>
    <row r="113" spans="1:5" x14ac:dyDescent="0.25">
      <c r="A113" s="2" t="s">
        <v>238</v>
      </c>
      <c r="B113" s="2" t="s">
        <v>116</v>
      </c>
      <c r="C113" s="14">
        <v>5000000</v>
      </c>
      <c r="D113" s="3">
        <v>9</v>
      </c>
      <c r="E113" s="79"/>
    </row>
    <row r="114" spans="1:5" x14ac:dyDescent="0.25">
      <c r="A114" s="2" t="s">
        <v>238</v>
      </c>
      <c r="B114" s="2" t="s">
        <v>116</v>
      </c>
      <c r="C114" s="14">
        <v>5000000</v>
      </c>
      <c r="D114" s="3">
        <v>65</v>
      </c>
      <c r="E114" s="79"/>
    </row>
    <row r="115" spans="1:5" x14ac:dyDescent="0.25">
      <c r="A115" s="2" t="s">
        <v>238</v>
      </c>
      <c r="B115" s="2" t="s">
        <v>116</v>
      </c>
      <c r="C115" s="14">
        <v>5000000</v>
      </c>
      <c r="D115" s="3"/>
      <c r="E115" s="79"/>
    </row>
    <row r="116" spans="1:5" x14ac:dyDescent="0.25">
      <c r="A116" s="2" t="s">
        <v>238</v>
      </c>
      <c r="B116" s="2" t="s">
        <v>116</v>
      </c>
      <c r="C116" s="14">
        <v>5000000</v>
      </c>
      <c r="D116" s="3">
        <v>35</v>
      </c>
      <c r="E116" s="79"/>
    </row>
    <row r="117" spans="1:5" x14ac:dyDescent="0.25">
      <c r="A117" s="2" t="s">
        <v>238</v>
      </c>
      <c r="B117" s="2" t="s">
        <v>116</v>
      </c>
      <c r="C117" s="14">
        <v>5000000</v>
      </c>
      <c r="D117" s="3">
        <v>45</v>
      </c>
      <c r="E117" s="79"/>
    </row>
    <row r="118" spans="1:5" x14ac:dyDescent="0.25">
      <c r="A118" s="2" t="s">
        <v>238</v>
      </c>
      <c r="B118" s="2" t="s">
        <v>116</v>
      </c>
      <c r="C118" s="14">
        <v>5000000</v>
      </c>
      <c r="D118" s="3"/>
      <c r="E118" s="79"/>
    </row>
    <row r="119" spans="1:5" x14ac:dyDescent="0.25">
      <c r="A119" s="2" t="s">
        <v>238</v>
      </c>
      <c r="B119" s="2" t="s">
        <v>116</v>
      </c>
      <c r="C119" s="14">
        <v>5000000</v>
      </c>
      <c r="D119" s="3">
        <v>24</v>
      </c>
      <c r="E119" s="79"/>
    </row>
    <row r="120" spans="1:5" x14ac:dyDescent="0.25">
      <c r="A120" s="2" t="s">
        <v>238</v>
      </c>
      <c r="B120" s="2" t="s">
        <v>116</v>
      </c>
      <c r="C120" s="14">
        <v>5000000</v>
      </c>
      <c r="D120" s="3">
        <v>38</v>
      </c>
      <c r="E120" s="79"/>
    </row>
    <row r="121" spans="1:5" x14ac:dyDescent="0.25">
      <c r="A121" s="2" t="s">
        <v>238</v>
      </c>
      <c r="B121" s="2" t="s">
        <v>116</v>
      </c>
      <c r="C121" s="14">
        <v>5000000</v>
      </c>
      <c r="D121" s="3">
        <v>28</v>
      </c>
      <c r="E121" s="79"/>
    </row>
    <row r="122" spans="1:5" x14ac:dyDescent="0.25">
      <c r="A122" s="2" t="s">
        <v>238</v>
      </c>
      <c r="B122" s="2" t="s">
        <v>116</v>
      </c>
      <c r="C122" s="14">
        <v>5000000</v>
      </c>
      <c r="D122" s="3">
        <v>11</v>
      </c>
      <c r="E122" s="79"/>
    </row>
    <row r="123" spans="1:5" x14ac:dyDescent="0.25">
      <c r="A123" s="2" t="s">
        <v>215</v>
      </c>
      <c r="B123" s="2" t="s">
        <v>116</v>
      </c>
      <c r="C123" s="14">
        <v>5000000</v>
      </c>
      <c r="D123" s="3">
        <v>66.5</v>
      </c>
      <c r="E123" s="79"/>
    </row>
    <row r="124" spans="1:5" x14ac:dyDescent="0.25">
      <c r="A124" s="2" t="s">
        <v>215</v>
      </c>
      <c r="B124" s="2" t="s">
        <v>116</v>
      </c>
      <c r="C124" s="14">
        <v>5000000</v>
      </c>
      <c r="D124" s="3">
        <v>30</v>
      </c>
      <c r="E124" s="79"/>
    </row>
    <row r="125" spans="1:5" x14ac:dyDescent="0.25">
      <c r="A125" s="2" t="s">
        <v>215</v>
      </c>
      <c r="B125" s="2" t="s">
        <v>116</v>
      </c>
      <c r="C125" s="14">
        <v>5000000</v>
      </c>
      <c r="D125" s="3">
        <v>55</v>
      </c>
      <c r="E125" s="79"/>
    </row>
    <row r="126" spans="1:5" x14ac:dyDescent="0.25">
      <c r="A126" s="2" t="s">
        <v>236</v>
      </c>
      <c r="B126" s="2" t="s">
        <v>114</v>
      </c>
      <c r="C126" s="14">
        <v>10000000</v>
      </c>
      <c r="D126" s="3">
        <v>185</v>
      </c>
      <c r="E126" s="79"/>
    </row>
    <row r="127" spans="1:5" x14ac:dyDescent="0.25">
      <c r="A127" s="2" t="s">
        <v>237</v>
      </c>
      <c r="B127" s="2" t="s">
        <v>114</v>
      </c>
      <c r="C127" s="14">
        <v>10000000</v>
      </c>
      <c r="D127" s="3">
        <v>80</v>
      </c>
      <c r="E127" s="79"/>
    </row>
    <row r="128" spans="1:5" x14ac:dyDescent="0.25">
      <c r="A128" s="2" t="s">
        <v>237</v>
      </c>
      <c r="B128" s="2" t="s">
        <v>114</v>
      </c>
      <c r="C128" s="14">
        <v>10000000</v>
      </c>
      <c r="D128" s="3">
        <v>350</v>
      </c>
      <c r="E128" s="79"/>
    </row>
    <row r="129" spans="1:5" x14ac:dyDescent="0.25">
      <c r="A129" s="2" t="s">
        <v>238</v>
      </c>
      <c r="B129" s="2" t="s">
        <v>114</v>
      </c>
      <c r="C129" s="14">
        <v>10000000</v>
      </c>
      <c r="D129" s="3">
        <v>100</v>
      </c>
      <c r="E129" s="79"/>
    </row>
    <row r="130" spans="1:5" x14ac:dyDescent="0.25">
      <c r="A130" s="2" t="s">
        <v>238</v>
      </c>
      <c r="B130" s="2" t="s">
        <v>114</v>
      </c>
      <c r="C130" s="14">
        <v>10000000</v>
      </c>
      <c r="D130" s="3">
        <v>240</v>
      </c>
      <c r="E130" s="79"/>
    </row>
    <row r="131" spans="1:5" x14ac:dyDescent="0.25">
      <c r="A131" s="3" t="s">
        <v>238</v>
      </c>
      <c r="B131" s="3" t="s">
        <v>114</v>
      </c>
      <c r="C131" s="14">
        <v>10000000</v>
      </c>
      <c r="D131" s="3">
        <v>106.8</v>
      </c>
      <c r="E131" s="79"/>
    </row>
    <row r="132" spans="1:5" x14ac:dyDescent="0.25">
      <c r="A132" s="2" t="s">
        <v>238</v>
      </c>
      <c r="B132" s="2" t="s">
        <v>114</v>
      </c>
      <c r="C132" s="14">
        <v>10000000</v>
      </c>
      <c r="D132" s="3">
        <v>139</v>
      </c>
      <c r="E132" s="79"/>
    </row>
    <row r="133" spans="1:5" x14ac:dyDescent="0.25">
      <c r="A133" s="2" t="s">
        <v>215</v>
      </c>
      <c r="B133" s="2" t="s">
        <v>114</v>
      </c>
      <c r="C133" s="14">
        <v>10000000</v>
      </c>
      <c r="D133" s="3">
        <v>149.5</v>
      </c>
      <c r="E133" s="79"/>
    </row>
    <row r="134" spans="1:5" x14ac:dyDescent="0.25">
      <c r="A134" s="2" t="s">
        <v>215</v>
      </c>
      <c r="B134" s="2" t="s">
        <v>114</v>
      </c>
      <c r="C134" s="14">
        <v>10000000</v>
      </c>
      <c r="D134" s="3">
        <v>147</v>
      </c>
      <c r="E134" s="79"/>
    </row>
    <row r="135" spans="1:5" x14ac:dyDescent="0.25">
      <c r="A135" s="3" t="s">
        <v>215</v>
      </c>
      <c r="B135" s="3" t="s">
        <v>114</v>
      </c>
      <c r="C135" s="14">
        <v>10000000</v>
      </c>
      <c r="D135" s="3">
        <v>54.9</v>
      </c>
      <c r="E135" s="79"/>
    </row>
    <row r="136" spans="1:5" x14ac:dyDescent="0.25">
      <c r="A136" s="2" t="s">
        <v>215</v>
      </c>
      <c r="B136" s="2" t="s">
        <v>114</v>
      </c>
      <c r="C136" s="14">
        <v>10000000</v>
      </c>
      <c r="D136" s="3">
        <v>70</v>
      </c>
      <c r="E136" s="79"/>
    </row>
    <row r="137" spans="1:5" x14ac:dyDescent="0.25">
      <c r="A137" s="2" t="s">
        <v>215</v>
      </c>
      <c r="B137" s="2" t="s">
        <v>114</v>
      </c>
      <c r="C137" s="14">
        <v>10000000</v>
      </c>
      <c r="D137" s="3">
        <v>130</v>
      </c>
      <c r="E137" s="79"/>
    </row>
    <row r="138" spans="1:5" x14ac:dyDescent="0.25">
      <c r="C138" s="14"/>
      <c r="E138" s="79"/>
    </row>
    <row r="139" spans="1:5" x14ac:dyDescent="0.25">
      <c r="E139" s="79"/>
    </row>
    <row r="140" spans="1:5" x14ac:dyDescent="0.25">
      <c r="B140" s="2" t="s">
        <v>254</v>
      </c>
      <c r="C140" s="18">
        <f>SUM(C5:C137)</f>
        <v>330990000</v>
      </c>
      <c r="D140" s="25">
        <f>SUM(D5:D139)</f>
        <v>3516.8500000000004</v>
      </c>
      <c r="E140" s="79"/>
    </row>
    <row r="141" spans="1:5" x14ac:dyDescent="0.25">
      <c r="C141" s="18"/>
      <c r="E141" s="79"/>
    </row>
    <row r="142" spans="1:5" x14ac:dyDescent="0.25">
      <c r="B142" t="s">
        <v>246</v>
      </c>
      <c r="C142" s="18">
        <f>C140/133</f>
        <v>2488646.6165413535</v>
      </c>
      <c r="D142" s="26">
        <f>D140/133</f>
        <v>26.442481203007521</v>
      </c>
      <c r="E142" s="79"/>
    </row>
    <row r="143" spans="1:5" x14ac:dyDescent="0.25">
      <c r="B143" t="s">
        <v>247</v>
      </c>
      <c r="C143" s="18">
        <f>300000</f>
        <v>300000</v>
      </c>
      <c r="D143">
        <v>2.8</v>
      </c>
      <c r="E143" s="79"/>
    </row>
  </sheetData>
  <sortState ref="U5:V137">
    <sortCondition ref="U5:U137"/>
    <sortCondition ref="V5:V137"/>
  </sortState>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78"/>
  <sheetViews>
    <sheetView workbookViewId="0"/>
  </sheetViews>
  <sheetFormatPr defaultRowHeight="15" x14ac:dyDescent="0.25"/>
  <cols>
    <col min="1" max="1" width="13.28515625" customWidth="1"/>
    <col min="3" max="3" width="13.5703125" customWidth="1"/>
    <col min="4" max="4" width="12.28515625" customWidth="1"/>
    <col min="5" max="5" width="12.140625" customWidth="1"/>
    <col min="6" max="6" width="16.85546875" bestFit="1" customWidth="1"/>
    <col min="8" max="8" width="25.28515625" customWidth="1"/>
    <col min="9" max="9" width="5.85546875" customWidth="1"/>
    <col min="10" max="10" width="7" customWidth="1"/>
    <col min="11" max="11" width="5.140625" customWidth="1"/>
    <col min="12" max="12" width="8.85546875" customWidth="1"/>
    <col min="13" max="13" width="6" customWidth="1"/>
    <col min="14" max="14" width="6.28515625" customWidth="1"/>
    <col min="15" max="15" width="4" bestFit="1" customWidth="1"/>
    <col min="16" max="16" width="9" bestFit="1" customWidth="1"/>
    <col min="17" max="17" width="6.28515625" customWidth="1"/>
    <col min="18" max="18" width="6.7109375" customWidth="1"/>
    <col min="19" max="19" width="1.28515625" customWidth="1"/>
    <col min="20" max="20" width="9" bestFit="1" customWidth="1"/>
    <col min="21" max="21" width="6.85546875" customWidth="1"/>
    <col min="22" max="22" width="5.85546875" customWidth="1"/>
  </cols>
  <sheetData>
    <row r="1" spans="1:22" x14ac:dyDescent="0.25">
      <c r="A1" s="10" t="s">
        <v>268</v>
      </c>
    </row>
    <row r="2" spans="1:22" x14ac:dyDescent="0.25">
      <c r="A2" s="10" t="s">
        <v>363</v>
      </c>
    </row>
    <row r="4" spans="1:22" s="19" customFormat="1" x14ac:dyDescent="0.25">
      <c r="C4" s="27" t="s">
        <v>257</v>
      </c>
      <c r="D4" s="27" t="s">
        <v>258</v>
      </c>
      <c r="E4" s="27" t="s">
        <v>259</v>
      </c>
      <c r="F4" s="27" t="s">
        <v>260</v>
      </c>
      <c r="H4" s="19">
        <v>2017</v>
      </c>
      <c r="L4" s="19">
        <v>2015</v>
      </c>
      <c r="P4" s="19">
        <v>2013</v>
      </c>
      <c r="T4" s="28">
        <v>2012</v>
      </c>
      <c r="U4" s="23"/>
      <c r="V4" s="23"/>
    </row>
    <row r="5" spans="1:22" x14ac:dyDescent="0.25">
      <c r="A5" s="2" t="s">
        <v>236</v>
      </c>
      <c r="B5" s="2" t="s">
        <v>109</v>
      </c>
      <c r="C5" s="2" t="s">
        <v>111</v>
      </c>
      <c r="D5" s="2" t="s">
        <v>111</v>
      </c>
      <c r="E5" s="2" t="s">
        <v>111</v>
      </c>
      <c r="F5" s="2" t="s">
        <v>111</v>
      </c>
      <c r="H5" s="19" t="s">
        <v>264</v>
      </c>
      <c r="L5" s="19" t="s">
        <v>263</v>
      </c>
      <c r="P5" s="19" t="s">
        <v>266</v>
      </c>
      <c r="Q5" s="19"/>
      <c r="R5" s="19"/>
      <c r="S5" s="19"/>
      <c r="T5" t="s">
        <v>265</v>
      </c>
    </row>
    <row r="6" spans="1:22" x14ac:dyDescent="0.25">
      <c r="A6" s="2" t="s">
        <v>236</v>
      </c>
      <c r="B6" s="2" t="s">
        <v>109</v>
      </c>
      <c r="C6" s="2" t="s">
        <v>109</v>
      </c>
      <c r="D6" s="2" t="s">
        <v>111</v>
      </c>
      <c r="E6" s="2" t="s">
        <v>111</v>
      </c>
      <c r="F6" s="2" t="s">
        <v>111</v>
      </c>
      <c r="H6" s="19" t="s">
        <v>239</v>
      </c>
      <c r="I6">
        <v>76</v>
      </c>
      <c r="J6" s="24">
        <f>76/132</f>
        <v>0.5757575757575758</v>
      </c>
      <c r="L6" s="19" t="s">
        <v>239</v>
      </c>
      <c r="M6" s="19">
        <v>72</v>
      </c>
      <c r="N6" s="24">
        <f>72/105</f>
        <v>0.68571428571428572</v>
      </c>
      <c r="P6" s="19" t="s">
        <v>239</v>
      </c>
      <c r="Q6" s="19">
        <v>93</v>
      </c>
      <c r="R6" s="24">
        <v>0.68</v>
      </c>
      <c r="S6" s="19"/>
      <c r="T6" s="29" t="s">
        <v>261</v>
      </c>
      <c r="U6" s="23">
        <v>68</v>
      </c>
      <c r="V6" s="30">
        <v>0.6</v>
      </c>
    </row>
    <row r="7" spans="1:22" x14ac:dyDescent="0.25">
      <c r="A7" s="2" t="s">
        <v>238</v>
      </c>
      <c r="B7" s="2" t="s">
        <v>109</v>
      </c>
      <c r="C7" s="2" t="s">
        <v>109</v>
      </c>
      <c r="D7" s="2" t="s">
        <v>111</v>
      </c>
      <c r="E7" s="2" t="s">
        <v>111</v>
      </c>
      <c r="F7" s="2" t="s">
        <v>111</v>
      </c>
      <c r="H7" s="19" t="s">
        <v>240</v>
      </c>
      <c r="I7">
        <v>56</v>
      </c>
      <c r="J7" s="24">
        <f>55/132</f>
        <v>0.41666666666666669</v>
      </c>
      <c r="L7" s="19" t="s">
        <v>240</v>
      </c>
      <c r="M7" s="19">
        <v>33</v>
      </c>
      <c r="N7" s="24">
        <f>33/105</f>
        <v>0.31428571428571428</v>
      </c>
      <c r="P7" s="19" t="s">
        <v>240</v>
      </c>
      <c r="Q7" s="19">
        <v>44</v>
      </c>
      <c r="R7" s="24">
        <v>0.32</v>
      </c>
      <c r="S7" s="19"/>
      <c r="T7" s="29" t="s">
        <v>142</v>
      </c>
      <c r="U7" s="23">
        <v>46</v>
      </c>
      <c r="V7" s="30">
        <v>0.4</v>
      </c>
    </row>
    <row r="8" spans="1:22" x14ac:dyDescent="0.25">
      <c r="A8" s="2" t="s">
        <v>238</v>
      </c>
      <c r="B8" s="2" t="s">
        <v>109</v>
      </c>
      <c r="C8" s="2" t="s">
        <v>109</v>
      </c>
      <c r="D8" s="2" t="s">
        <v>111</v>
      </c>
      <c r="E8" s="2" t="s">
        <v>111</v>
      </c>
      <c r="F8" s="2" t="s">
        <v>111</v>
      </c>
      <c r="H8" s="19"/>
      <c r="I8">
        <f>SUM(I6:I7)</f>
        <v>132</v>
      </c>
      <c r="P8" s="19"/>
      <c r="Q8" s="19">
        <f>SUM(Q6:Q7)</f>
        <v>137</v>
      </c>
      <c r="R8" s="19"/>
      <c r="S8" s="19"/>
      <c r="T8" s="23"/>
      <c r="U8" s="23">
        <f>SUM(U6:U7)</f>
        <v>114</v>
      </c>
      <c r="V8" s="23"/>
    </row>
    <row r="9" spans="1:22" x14ac:dyDescent="0.25">
      <c r="A9" s="2" t="s">
        <v>238</v>
      </c>
      <c r="B9" s="2" t="s">
        <v>109</v>
      </c>
      <c r="C9" s="2" t="s">
        <v>109</v>
      </c>
      <c r="D9" s="2" t="s">
        <v>111</v>
      </c>
      <c r="E9" s="2" t="s">
        <v>111</v>
      </c>
      <c r="F9" s="2" t="s">
        <v>111</v>
      </c>
      <c r="H9" s="19"/>
      <c r="P9" s="19"/>
      <c r="Q9" s="19"/>
      <c r="R9" s="19"/>
      <c r="S9" s="19"/>
      <c r="V9" s="23"/>
    </row>
    <row r="10" spans="1:22" x14ac:dyDescent="0.25">
      <c r="A10" s="2" t="s">
        <v>238</v>
      </c>
      <c r="B10" s="2" t="s">
        <v>109</v>
      </c>
      <c r="C10" s="2" t="s">
        <v>109</v>
      </c>
      <c r="D10" s="2" t="s">
        <v>111</v>
      </c>
      <c r="E10" s="2" t="s">
        <v>111</v>
      </c>
      <c r="F10" s="2" t="s">
        <v>111</v>
      </c>
      <c r="H10" s="19" t="s">
        <v>262</v>
      </c>
      <c r="I10">
        <v>7</v>
      </c>
      <c r="P10" s="19" t="s">
        <v>262</v>
      </c>
      <c r="Q10" s="19">
        <v>4</v>
      </c>
      <c r="R10" s="19"/>
      <c r="S10" s="22"/>
      <c r="T10" s="19" t="s">
        <v>262</v>
      </c>
      <c r="U10" s="23">
        <v>3</v>
      </c>
    </row>
    <row r="11" spans="1:22" x14ac:dyDescent="0.25">
      <c r="A11" s="2" t="s">
        <v>238</v>
      </c>
      <c r="B11" s="2" t="s">
        <v>109</v>
      </c>
      <c r="C11" s="2" t="s">
        <v>109</v>
      </c>
      <c r="D11" s="2" t="s">
        <v>111</v>
      </c>
      <c r="E11" s="2" t="s">
        <v>111</v>
      </c>
      <c r="F11" s="2" t="s">
        <v>111</v>
      </c>
    </row>
    <row r="12" spans="1:22" x14ac:dyDescent="0.25">
      <c r="A12" s="2" t="s">
        <v>238</v>
      </c>
      <c r="B12" s="2" t="s">
        <v>109</v>
      </c>
      <c r="C12" s="2" t="s">
        <v>109</v>
      </c>
      <c r="D12" s="2" t="s">
        <v>111</v>
      </c>
      <c r="E12" s="2" t="s">
        <v>111</v>
      </c>
      <c r="F12" s="2" t="s">
        <v>111</v>
      </c>
    </row>
    <row r="13" spans="1:22" x14ac:dyDescent="0.25">
      <c r="A13" s="2" t="s">
        <v>238</v>
      </c>
      <c r="B13" s="2" t="s">
        <v>109</v>
      </c>
      <c r="C13" s="2" t="s">
        <v>109</v>
      </c>
      <c r="D13" s="2" t="s">
        <v>111</v>
      </c>
      <c r="E13" s="2" t="s">
        <v>111</v>
      </c>
      <c r="F13" s="2" t="s">
        <v>111</v>
      </c>
    </row>
    <row r="14" spans="1:22" x14ac:dyDescent="0.25">
      <c r="A14" s="2" t="s">
        <v>238</v>
      </c>
      <c r="B14" s="2" t="s">
        <v>109</v>
      </c>
      <c r="C14" s="2" t="s">
        <v>109</v>
      </c>
      <c r="D14" s="2" t="s">
        <v>111</v>
      </c>
      <c r="E14" s="2" t="s">
        <v>111</v>
      </c>
      <c r="F14" s="2" t="s">
        <v>111</v>
      </c>
    </row>
    <row r="15" spans="1:22" x14ac:dyDescent="0.25">
      <c r="A15" s="2" t="s">
        <v>215</v>
      </c>
      <c r="B15" s="2" t="s">
        <v>109</v>
      </c>
      <c r="C15" s="2" t="s">
        <v>109</v>
      </c>
      <c r="D15" s="2" t="s">
        <v>111</v>
      </c>
      <c r="E15" s="2" t="s">
        <v>111</v>
      </c>
      <c r="F15" s="2" t="s">
        <v>111</v>
      </c>
    </row>
    <row r="16" spans="1:22" x14ac:dyDescent="0.25">
      <c r="A16" s="2" t="s">
        <v>238</v>
      </c>
      <c r="B16" s="2" t="s">
        <v>109</v>
      </c>
      <c r="C16" s="2" t="s">
        <v>111</v>
      </c>
      <c r="D16" s="2" t="s">
        <v>111</v>
      </c>
      <c r="E16" s="2" t="s">
        <v>109</v>
      </c>
      <c r="F16" s="2" t="s">
        <v>111</v>
      </c>
    </row>
    <row r="17" spans="1:13" x14ac:dyDescent="0.25">
      <c r="A17" s="2" t="s">
        <v>238</v>
      </c>
      <c r="B17" s="2" t="s">
        <v>109</v>
      </c>
      <c r="C17" s="2" t="s">
        <v>111</v>
      </c>
      <c r="D17" s="2" t="s">
        <v>111</v>
      </c>
      <c r="E17" s="2" t="s">
        <v>109</v>
      </c>
      <c r="F17" s="2" t="s">
        <v>111</v>
      </c>
    </row>
    <row r="18" spans="1:13" x14ac:dyDescent="0.25">
      <c r="A18" s="2" t="s">
        <v>238</v>
      </c>
      <c r="B18" s="2" t="s">
        <v>109</v>
      </c>
      <c r="C18" s="2" t="s">
        <v>111</v>
      </c>
      <c r="D18" s="2" t="s">
        <v>111</v>
      </c>
      <c r="E18" s="2" t="s">
        <v>109</v>
      </c>
      <c r="F18" s="2" t="s">
        <v>111</v>
      </c>
    </row>
    <row r="19" spans="1:13" x14ac:dyDescent="0.25">
      <c r="A19" s="2" t="s">
        <v>236</v>
      </c>
      <c r="B19" s="2" t="s">
        <v>109</v>
      </c>
      <c r="C19" s="2" t="s">
        <v>109</v>
      </c>
      <c r="D19" s="2" t="s">
        <v>111</v>
      </c>
      <c r="E19" s="2" t="s">
        <v>109</v>
      </c>
      <c r="F19" s="2" t="s">
        <v>111</v>
      </c>
    </row>
    <row r="20" spans="1:13" x14ac:dyDescent="0.25">
      <c r="A20" s="2" t="s">
        <v>236</v>
      </c>
      <c r="B20" s="2" t="s">
        <v>109</v>
      </c>
      <c r="C20" s="2" t="s">
        <v>109</v>
      </c>
      <c r="D20" s="2" t="s">
        <v>111</v>
      </c>
      <c r="E20" s="2" t="s">
        <v>109</v>
      </c>
      <c r="F20" s="2" t="s">
        <v>111</v>
      </c>
    </row>
    <row r="21" spans="1:13" x14ac:dyDescent="0.25">
      <c r="A21" s="2" t="s">
        <v>236</v>
      </c>
      <c r="B21" s="2" t="s">
        <v>109</v>
      </c>
      <c r="C21" s="2" t="s">
        <v>109</v>
      </c>
      <c r="D21" s="2" t="s">
        <v>111</v>
      </c>
      <c r="E21" s="2" t="s">
        <v>109</v>
      </c>
      <c r="F21" s="2" t="s">
        <v>111</v>
      </c>
    </row>
    <row r="22" spans="1:13" x14ac:dyDescent="0.25">
      <c r="A22" s="2" t="s">
        <v>236</v>
      </c>
      <c r="B22" s="2" t="s">
        <v>109</v>
      </c>
      <c r="C22" s="2" t="s">
        <v>109</v>
      </c>
      <c r="D22" s="2" t="s">
        <v>111</v>
      </c>
      <c r="E22" s="2" t="s">
        <v>109</v>
      </c>
      <c r="F22" s="2" t="s">
        <v>111</v>
      </c>
    </row>
    <row r="23" spans="1:13" x14ac:dyDescent="0.25">
      <c r="A23" s="2" t="s">
        <v>236</v>
      </c>
      <c r="B23" s="2" t="s">
        <v>109</v>
      </c>
      <c r="C23" s="2" t="s">
        <v>109</v>
      </c>
      <c r="D23" s="2" t="s">
        <v>111</v>
      </c>
      <c r="E23" s="2" t="s">
        <v>109</v>
      </c>
      <c r="F23" s="2" t="s">
        <v>111</v>
      </c>
    </row>
    <row r="24" spans="1:13" x14ac:dyDescent="0.25">
      <c r="A24" s="2" t="s">
        <v>237</v>
      </c>
      <c r="B24" s="2" t="s">
        <v>109</v>
      </c>
      <c r="C24" s="2" t="s">
        <v>109</v>
      </c>
      <c r="D24" s="2" t="s">
        <v>111</v>
      </c>
      <c r="E24" s="2" t="s">
        <v>109</v>
      </c>
      <c r="F24" s="2" t="s">
        <v>111</v>
      </c>
    </row>
    <row r="25" spans="1:13" x14ac:dyDescent="0.25">
      <c r="A25" s="2" t="s">
        <v>238</v>
      </c>
      <c r="B25" s="2" t="s">
        <v>109</v>
      </c>
      <c r="C25" s="2" t="s">
        <v>109</v>
      </c>
      <c r="D25" s="2" t="s">
        <v>111</v>
      </c>
      <c r="E25" s="2" t="s">
        <v>109</v>
      </c>
      <c r="F25" s="2" t="s">
        <v>111</v>
      </c>
    </row>
    <row r="26" spans="1:13" x14ac:dyDescent="0.25">
      <c r="A26" s="2" t="s">
        <v>238</v>
      </c>
      <c r="B26" s="2" t="s">
        <v>109</v>
      </c>
      <c r="C26" s="2" t="s">
        <v>109</v>
      </c>
      <c r="D26" s="2" t="s">
        <v>111</v>
      </c>
      <c r="E26" s="2" t="s">
        <v>109</v>
      </c>
      <c r="F26" s="2" t="s">
        <v>111</v>
      </c>
    </row>
    <row r="27" spans="1:13" x14ac:dyDescent="0.25">
      <c r="A27" s="2" t="s">
        <v>238</v>
      </c>
      <c r="B27" s="2" t="s">
        <v>109</v>
      </c>
      <c r="C27" s="2" t="s">
        <v>109</v>
      </c>
      <c r="D27" s="2" t="s">
        <v>111</v>
      </c>
      <c r="E27" s="2" t="s">
        <v>109</v>
      </c>
      <c r="F27" s="2" t="s">
        <v>111</v>
      </c>
    </row>
    <row r="28" spans="1:13" x14ac:dyDescent="0.25">
      <c r="A28" s="2" t="s">
        <v>238</v>
      </c>
      <c r="B28" s="2" t="s">
        <v>109</v>
      </c>
      <c r="C28" s="2" t="s">
        <v>109</v>
      </c>
      <c r="D28" s="2" t="s">
        <v>111</v>
      </c>
      <c r="E28" s="2" t="s">
        <v>109</v>
      </c>
      <c r="F28" s="2" t="s">
        <v>111</v>
      </c>
      <c r="H28" s="15" t="s">
        <v>267</v>
      </c>
    </row>
    <row r="29" spans="1:13" x14ac:dyDescent="0.25">
      <c r="A29" s="2" t="s">
        <v>238</v>
      </c>
      <c r="B29" s="2" t="s">
        <v>109</v>
      </c>
      <c r="C29" s="2" t="s">
        <v>109</v>
      </c>
      <c r="D29" s="2" t="s">
        <v>111</v>
      </c>
      <c r="E29" s="2" t="s">
        <v>109</v>
      </c>
      <c r="F29" s="2" t="s">
        <v>111</v>
      </c>
    </row>
    <row r="30" spans="1:13" x14ac:dyDescent="0.25">
      <c r="A30" s="2" t="s">
        <v>238</v>
      </c>
      <c r="B30" s="2" t="s">
        <v>109</v>
      </c>
      <c r="C30" s="2" t="s">
        <v>109</v>
      </c>
      <c r="D30" s="2" t="s">
        <v>111</v>
      </c>
      <c r="E30" s="2" t="s">
        <v>109</v>
      </c>
      <c r="F30" s="2" t="s">
        <v>111</v>
      </c>
      <c r="I30" t="s">
        <v>261</v>
      </c>
      <c r="J30" s="78" t="s">
        <v>142</v>
      </c>
      <c r="L30" s="17" t="s">
        <v>261</v>
      </c>
      <c r="M30" s="17" t="s">
        <v>142</v>
      </c>
    </row>
    <row r="31" spans="1:13" x14ac:dyDescent="0.25">
      <c r="A31" s="2" t="s">
        <v>238</v>
      </c>
      <c r="B31" s="2" t="s">
        <v>109</v>
      </c>
      <c r="C31" s="2" t="s">
        <v>109</v>
      </c>
      <c r="D31" s="2" t="s">
        <v>111</v>
      </c>
      <c r="E31" s="2" t="s">
        <v>109</v>
      </c>
      <c r="F31" s="2" t="s">
        <v>111</v>
      </c>
      <c r="H31" s="8" t="s">
        <v>257</v>
      </c>
      <c r="I31" s="31">
        <f>69/76</f>
        <v>0.90789473684210531</v>
      </c>
      <c r="J31" s="31">
        <f>7/76</f>
        <v>9.2105263157894732E-2</v>
      </c>
      <c r="L31" s="2">
        <v>69</v>
      </c>
      <c r="M31" s="2">
        <v>7</v>
      </c>
    </row>
    <row r="32" spans="1:13" x14ac:dyDescent="0.25">
      <c r="A32" s="2" t="s">
        <v>238</v>
      </c>
      <c r="B32" s="2" t="s">
        <v>109</v>
      </c>
      <c r="C32" s="2" t="s">
        <v>109</v>
      </c>
      <c r="D32" s="2" t="s">
        <v>111</v>
      </c>
      <c r="E32" s="2" t="s">
        <v>109</v>
      </c>
      <c r="F32" s="2" t="s">
        <v>111</v>
      </c>
      <c r="H32" s="8" t="s">
        <v>258</v>
      </c>
      <c r="I32" s="31">
        <f>27/76</f>
        <v>0.35526315789473684</v>
      </c>
      <c r="J32" s="31">
        <f>49/76</f>
        <v>0.64473684210526316</v>
      </c>
      <c r="L32" s="2">
        <v>27</v>
      </c>
      <c r="M32" s="2">
        <v>49</v>
      </c>
    </row>
    <row r="33" spans="1:14" x14ac:dyDescent="0.25">
      <c r="A33" s="2" t="s">
        <v>238</v>
      </c>
      <c r="B33" s="2" t="s">
        <v>109</v>
      </c>
      <c r="C33" s="2" t="s">
        <v>109</v>
      </c>
      <c r="D33" s="2" t="s">
        <v>111</v>
      </c>
      <c r="E33" s="2" t="s">
        <v>109</v>
      </c>
      <c r="F33" s="2" t="s">
        <v>111</v>
      </c>
      <c r="H33" s="8" t="s">
        <v>259</v>
      </c>
      <c r="I33" s="31">
        <f>64/76</f>
        <v>0.84210526315789469</v>
      </c>
      <c r="J33" s="31">
        <f>12/76</f>
        <v>0.15789473684210525</v>
      </c>
      <c r="L33" s="2">
        <v>64</v>
      </c>
      <c r="M33" s="2">
        <v>12</v>
      </c>
    </row>
    <row r="34" spans="1:14" x14ac:dyDescent="0.25">
      <c r="A34" s="2" t="s">
        <v>238</v>
      </c>
      <c r="B34" s="2" t="s">
        <v>109</v>
      </c>
      <c r="C34" s="2" t="s">
        <v>109</v>
      </c>
      <c r="D34" s="2" t="s">
        <v>111</v>
      </c>
      <c r="E34" s="2" t="s">
        <v>109</v>
      </c>
      <c r="F34" s="2" t="s">
        <v>111</v>
      </c>
      <c r="H34" s="8" t="s">
        <v>260</v>
      </c>
      <c r="I34" s="31">
        <f>35/76</f>
        <v>0.46052631578947367</v>
      </c>
      <c r="J34" s="31">
        <f>41/76</f>
        <v>0.53947368421052633</v>
      </c>
      <c r="L34" s="2">
        <v>35</v>
      </c>
      <c r="M34" s="2">
        <v>41</v>
      </c>
    </row>
    <row r="35" spans="1:14" x14ac:dyDescent="0.25">
      <c r="A35" s="2" t="s">
        <v>238</v>
      </c>
      <c r="B35" s="2" t="s">
        <v>109</v>
      </c>
      <c r="C35" s="2" t="s">
        <v>109</v>
      </c>
      <c r="D35" s="2" t="s">
        <v>111</v>
      </c>
      <c r="E35" s="2" t="s">
        <v>109</v>
      </c>
      <c r="F35" s="2" t="s">
        <v>111</v>
      </c>
      <c r="I35" s="2"/>
      <c r="J35" s="2"/>
      <c r="K35" s="2"/>
      <c r="N35" s="2"/>
    </row>
    <row r="36" spans="1:14" x14ac:dyDescent="0.25">
      <c r="A36" s="2" t="s">
        <v>238</v>
      </c>
      <c r="B36" s="2" t="s">
        <v>109</v>
      </c>
      <c r="C36" s="2" t="s">
        <v>109</v>
      </c>
      <c r="D36" s="2" t="s">
        <v>111</v>
      </c>
      <c r="E36" s="2" t="s">
        <v>109</v>
      </c>
      <c r="F36" s="2" t="s">
        <v>111</v>
      </c>
      <c r="H36" s="2"/>
      <c r="I36" s="2"/>
      <c r="J36" s="2"/>
      <c r="K36" s="2"/>
      <c r="L36" s="2"/>
      <c r="M36" s="2"/>
      <c r="N36" s="2"/>
    </row>
    <row r="37" spans="1:14" x14ac:dyDescent="0.25">
      <c r="A37" s="2" t="s">
        <v>238</v>
      </c>
      <c r="B37" s="2" t="s">
        <v>109</v>
      </c>
      <c r="C37" s="2" t="s">
        <v>109</v>
      </c>
      <c r="D37" s="2" t="s">
        <v>111</v>
      </c>
      <c r="E37" s="2" t="s">
        <v>109</v>
      </c>
      <c r="F37" s="2" t="s">
        <v>111</v>
      </c>
    </row>
    <row r="38" spans="1:14" x14ac:dyDescent="0.25">
      <c r="A38" s="2" t="s">
        <v>215</v>
      </c>
      <c r="B38" s="2" t="s">
        <v>109</v>
      </c>
      <c r="C38" s="2" t="s">
        <v>109</v>
      </c>
      <c r="D38" s="2" t="s">
        <v>111</v>
      </c>
      <c r="E38" s="2" t="s">
        <v>109</v>
      </c>
      <c r="F38" s="2" t="s">
        <v>111</v>
      </c>
      <c r="I38" s="2"/>
      <c r="J38" s="2"/>
      <c r="K38" s="2"/>
      <c r="N38" s="2"/>
    </row>
    <row r="39" spans="1:14" x14ac:dyDescent="0.25">
      <c r="A39" s="2" t="s">
        <v>215</v>
      </c>
      <c r="B39" s="2" t="s">
        <v>109</v>
      </c>
      <c r="C39" s="2" t="s">
        <v>109</v>
      </c>
      <c r="D39" s="2" t="s">
        <v>111</v>
      </c>
      <c r="E39" s="2" t="s">
        <v>109</v>
      </c>
      <c r="F39" s="2" t="s">
        <v>111</v>
      </c>
      <c r="H39" s="2"/>
      <c r="I39" s="2"/>
      <c r="J39" s="2"/>
      <c r="K39" s="2"/>
      <c r="L39" s="2"/>
      <c r="M39" s="2"/>
      <c r="N39" s="2"/>
    </row>
    <row r="40" spans="1:14" x14ac:dyDescent="0.25">
      <c r="A40" s="2" t="s">
        <v>238</v>
      </c>
      <c r="B40" s="2" t="s">
        <v>109</v>
      </c>
      <c r="C40" s="2" t="s">
        <v>111</v>
      </c>
      <c r="D40" s="2" t="s">
        <v>109</v>
      </c>
      <c r="E40" s="2" t="s">
        <v>109</v>
      </c>
      <c r="F40" s="2" t="s">
        <v>111</v>
      </c>
    </row>
    <row r="41" spans="1:14" x14ac:dyDescent="0.25">
      <c r="A41" s="2" t="s">
        <v>238</v>
      </c>
      <c r="B41" s="2" t="s">
        <v>109</v>
      </c>
      <c r="C41" s="2" t="s">
        <v>111</v>
      </c>
      <c r="D41" s="2" t="s">
        <v>109</v>
      </c>
      <c r="E41" s="2" t="s">
        <v>109</v>
      </c>
      <c r="F41" s="2" t="s">
        <v>111</v>
      </c>
      <c r="I41" s="2"/>
      <c r="J41" s="2"/>
      <c r="K41" s="2"/>
      <c r="N41" s="2"/>
    </row>
    <row r="42" spans="1:14" x14ac:dyDescent="0.25">
      <c r="A42" s="2" t="s">
        <v>238</v>
      </c>
      <c r="B42" s="2" t="s">
        <v>109</v>
      </c>
      <c r="C42" s="2" t="s">
        <v>109</v>
      </c>
      <c r="D42" s="2" t="s">
        <v>109</v>
      </c>
      <c r="E42" s="2" t="s">
        <v>109</v>
      </c>
      <c r="F42" s="2" t="s">
        <v>111</v>
      </c>
      <c r="H42" s="2"/>
      <c r="I42" s="2"/>
      <c r="J42" s="2"/>
      <c r="K42" s="2"/>
      <c r="L42" s="2"/>
      <c r="M42" s="2"/>
      <c r="N42" s="2"/>
    </row>
    <row r="43" spans="1:14" x14ac:dyDescent="0.25">
      <c r="A43" s="2" t="s">
        <v>238</v>
      </c>
      <c r="B43" s="2" t="s">
        <v>109</v>
      </c>
      <c r="C43" s="2" t="s">
        <v>109</v>
      </c>
      <c r="D43" s="2" t="s">
        <v>109</v>
      </c>
      <c r="E43" s="2" t="s">
        <v>109</v>
      </c>
      <c r="F43" s="2" t="s">
        <v>111</v>
      </c>
    </row>
    <row r="44" spans="1:14" x14ac:dyDescent="0.25">
      <c r="A44" s="2" t="s">
        <v>238</v>
      </c>
      <c r="B44" s="2" t="s">
        <v>109</v>
      </c>
      <c r="C44" s="2" t="s">
        <v>109</v>
      </c>
      <c r="D44" s="2" t="s">
        <v>109</v>
      </c>
      <c r="E44" s="2" t="s">
        <v>109</v>
      </c>
      <c r="F44" s="2" t="s">
        <v>111</v>
      </c>
    </row>
    <row r="45" spans="1:14" x14ac:dyDescent="0.25">
      <c r="A45" s="2" t="s">
        <v>238</v>
      </c>
      <c r="B45" s="2" t="s">
        <v>109</v>
      </c>
      <c r="C45" s="2" t="s">
        <v>109</v>
      </c>
      <c r="D45" s="2" t="s">
        <v>109</v>
      </c>
      <c r="E45" s="2" t="s">
        <v>109</v>
      </c>
      <c r="F45" s="2" t="s">
        <v>111</v>
      </c>
    </row>
    <row r="46" spans="1:14" x14ac:dyDescent="0.25">
      <c r="A46" s="2" t="s">
        <v>215</v>
      </c>
      <c r="B46" s="2" t="s">
        <v>109</v>
      </c>
      <c r="C46" s="2" t="s">
        <v>109</v>
      </c>
      <c r="D46" s="2" t="s">
        <v>109</v>
      </c>
      <c r="E46" s="2" t="s">
        <v>111</v>
      </c>
      <c r="F46" s="2" t="s">
        <v>109</v>
      </c>
    </row>
    <row r="47" spans="1:14" x14ac:dyDescent="0.25">
      <c r="A47" s="2" t="s">
        <v>238</v>
      </c>
      <c r="B47" s="2" t="s">
        <v>109</v>
      </c>
      <c r="C47" s="2" t="s">
        <v>111</v>
      </c>
      <c r="D47" s="2" t="s">
        <v>111</v>
      </c>
      <c r="E47" s="2" t="s">
        <v>109</v>
      </c>
      <c r="F47" s="2" t="s">
        <v>109</v>
      </c>
    </row>
    <row r="48" spans="1:14" x14ac:dyDescent="0.25">
      <c r="A48" s="2" t="s">
        <v>236</v>
      </c>
      <c r="B48" s="2" t="s">
        <v>109</v>
      </c>
      <c r="C48" s="2" t="s">
        <v>109</v>
      </c>
      <c r="D48" s="2" t="s">
        <v>111</v>
      </c>
      <c r="E48" s="2" t="s">
        <v>109</v>
      </c>
      <c r="F48" s="2" t="s">
        <v>109</v>
      </c>
    </row>
    <row r="49" spans="1:23" x14ac:dyDescent="0.25">
      <c r="A49" s="2" t="s">
        <v>236</v>
      </c>
      <c r="B49" s="2" t="s">
        <v>109</v>
      </c>
      <c r="C49" s="2" t="s">
        <v>109</v>
      </c>
      <c r="D49" s="2" t="s">
        <v>111</v>
      </c>
      <c r="E49" s="2" t="s">
        <v>109</v>
      </c>
      <c r="F49" s="2" t="s">
        <v>109</v>
      </c>
    </row>
    <row r="50" spans="1:23" x14ac:dyDescent="0.25">
      <c r="A50" s="2" t="s">
        <v>236</v>
      </c>
      <c r="B50" s="3" t="s">
        <v>109</v>
      </c>
      <c r="C50" s="3" t="s">
        <v>109</v>
      </c>
      <c r="D50" s="3" t="s">
        <v>111</v>
      </c>
      <c r="E50" s="3" t="s">
        <v>109</v>
      </c>
      <c r="F50" s="3" t="s">
        <v>109</v>
      </c>
    </row>
    <row r="51" spans="1:23" x14ac:dyDescent="0.25">
      <c r="A51" s="2" t="s">
        <v>236</v>
      </c>
      <c r="B51" s="2" t="s">
        <v>109</v>
      </c>
      <c r="C51" s="2" t="s">
        <v>109</v>
      </c>
      <c r="D51" s="2" t="s">
        <v>111</v>
      </c>
      <c r="E51" s="2" t="s">
        <v>109</v>
      </c>
      <c r="F51" s="2" t="s">
        <v>109</v>
      </c>
    </row>
    <row r="52" spans="1:23" x14ac:dyDescent="0.25">
      <c r="A52" s="2" t="s">
        <v>238</v>
      </c>
      <c r="B52" s="2" t="s">
        <v>109</v>
      </c>
      <c r="C52" s="2" t="s">
        <v>109</v>
      </c>
      <c r="D52" s="2" t="s">
        <v>111</v>
      </c>
      <c r="E52" s="2" t="s">
        <v>109</v>
      </c>
      <c r="F52" s="2" t="s">
        <v>109</v>
      </c>
      <c r="T52" s="2"/>
      <c r="U52" s="2"/>
    </row>
    <row r="53" spans="1:23" x14ac:dyDescent="0.25">
      <c r="A53" s="2" t="s">
        <v>238</v>
      </c>
      <c r="B53" s="2" t="s">
        <v>109</v>
      </c>
      <c r="C53" s="2" t="s">
        <v>109</v>
      </c>
      <c r="D53" s="2" t="s">
        <v>111</v>
      </c>
      <c r="E53" s="2" t="s">
        <v>109</v>
      </c>
      <c r="F53" s="2" t="s">
        <v>109</v>
      </c>
      <c r="H53" s="71" t="s">
        <v>299</v>
      </c>
    </row>
    <row r="54" spans="1:23" x14ac:dyDescent="0.25">
      <c r="A54" s="2" t="s">
        <v>238</v>
      </c>
      <c r="B54" s="2" t="s">
        <v>109</v>
      </c>
      <c r="C54" s="2" t="s">
        <v>109</v>
      </c>
      <c r="D54" s="2" t="s">
        <v>111</v>
      </c>
      <c r="E54" s="2" t="s">
        <v>109</v>
      </c>
      <c r="F54" s="2" t="s">
        <v>109</v>
      </c>
      <c r="I54" s="71" t="s">
        <v>239</v>
      </c>
      <c r="J54" s="71" t="s">
        <v>240</v>
      </c>
      <c r="P54" s="2" t="s">
        <v>236</v>
      </c>
      <c r="Q54" s="2" t="s">
        <v>111</v>
      </c>
      <c r="R54" s="2" t="s">
        <v>237</v>
      </c>
      <c r="S54" s="2" t="s">
        <v>111</v>
      </c>
      <c r="T54" s="2" t="s">
        <v>238</v>
      </c>
      <c r="U54" s="2" t="s">
        <v>111</v>
      </c>
      <c r="V54" s="2" t="s">
        <v>215</v>
      </c>
      <c r="W54" s="2" t="s">
        <v>111</v>
      </c>
    </row>
    <row r="55" spans="1:23" x14ac:dyDescent="0.25">
      <c r="A55" s="2" t="s">
        <v>238</v>
      </c>
      <c r="B55" s="2" t="s">
        <v>109</v>
      </c>
      <c r="C55" s="2" t="s">
        <v>109</v>
      </c>
      <c r="D55" s="2" t="s">
        <v>111</v>
      </c>
      <c r="E55" s="2" t="s">
        <v>109</v>
      </c>
      <c r="F55" s="2" t="s">
        <v>109</v>
      </c>
      <c r="H55" s="71" t="s">
        <v>567</v>
      </c>
      <c r="I55">
        <v>20</v>
      </c>
      <c r="J55" s="71">
        <v>17</v>
      </c>
      <c r="L55" s="36">
        <f>20/37</f>
        <v>0.54054054054054057</v>
      </c>
      <c r="P55" s="2" t="s">
        <v>236</v>
      </c>
      <c r="Q55" s="2" t="s">
        <v>111</v>
      </c>
      <c r="R55" s="2" t="s">
        <v>237</v>
      </c>
      <c r="S55" s="2" t="s">
        <v>111</v>
      </c>
      <c r="T55" s="2" t="s">
        <v>238</v>
      </c>
      <c r="U55" s="2" t="s">
        <v>111</v>
      </c>
      <c r="V55" s="2" t="s">
        <v>215</v>
      </c>
      <c r="W55" s="2" t="s">
        <v>111</v>
      </c>
    </row>
    <row r="56" spans="1:23" x14ac:dyDescent="0.25">
      <c r="A56" s="2" t="s">
        <v>238</v>
      </c>
      <c r="B56" s="2" t="s">
        <v>109</v>
      </c>
      <c r="C56" s="2" t="s">
        <v>109</v>
      </c>
      <c r="D56" s="2" t="s">
        <v>111</v>
      </c>
      <c r="E56" s="2" t="s">
        <v>109</v>
      </c>
      <c r="F56" s="2" t="s">
        <v>109</v>
      </c>
      <c r="H56" s="71" t="s">
        <v>274</v>
      </c>
      <c r="I56">
        <v>3</v>
      </c>
      <c r="J56">
        <v>2</v>
      </c>
      <c r="L56" s="36">
        <f>3/5</f>
        <v>0.6</v>
      </c>
      <c r="P56" s="2" t="s">
        <v>236</v>
      </c>
      <c r="Q56" s="2" t="s">
        <v>111</v>
      </c>
      <c r="R56" s="2" t="s">
        <v>237</v>
      </c>
      <c r="S56" s="2" t="s">
        <v>109</v>
      </c>
      <c r="T56" s="2" t="s">
        <v>238</v>
      </c>
      <c r="U56" s="2" t="s">
        <v>111</v>
      </c>
      <c r="V56" s="2" t="s">
        <v>215</v>
      </c>
      <c r="W56" s="2" t="s">
        <v>111</v>
      </c>
    </row>
    <row r="57" spans="1:23" x14ac:dyDescent="0.25">
      <c r="A57" s="2" t="s">
        <v>238</v>
      </c>
      <c r="B57" s="2" t="s">
        <v>109</v>
      </c>
      <c r="C57" s="2" t="s">
        <v>109</v>
      </c>
      <c r="D57" s="2" t="s">
        <v>111</v>
      </c>
      <c r="E57" s="2" t="s">
        <v>109</v>
      </c>
      <c r="F57" s="2" t="s">
        <v>109</v>
      </c>
      <c r="H57" s="71" t="s">
        <v>275</v>
      </c>
      <c r="I57">
        <v>44</v>
      </c>
      <c r="J57">
        <v>34</v>
      </c>
      <c r="L57" s="36">
        <f>44/78</f>
        <v>0.5641025641025641</v>
      </c>
      <c r="P57" s="2" t="s">
        <v>236</v>
      </c>
      <c r="Q57" s="2" t="s">
        <v>111</v>
      </c>
      <c r="R57" s="2" t="s">
        <v>237</v>
      </c>
      <c r="S57" s="2" t="s">
        <v>109</v>
      </c>
      <c r="T57" s="2" t="s">
        <v>238</v>
      </c>
      <c r="U57" s="2" t="s">
        <v>111</v>
      </c>
      <c r="V57" s="2" t="s">
        <v>215</v>
      </c>
      <c r="W57" s="2" t="s">
        <v>109</v>
      </c>
    </row>
    <row r="58" spans="1:23" x14ac:dyDescent="0.25">
      <c r="A58" s="2" t="s">
        <v>238</v>
      </c>
      <c r="B58" s="2" t="s">
        <v>109</v>
      </c>
      <c r="C58" s="2" t="s">
        <v>109</v>
      </c>
      <c r="D58" s="2" t="s">
        <v>111</v>
      </c>
      <c r="E58" s="2" t="s">
        <v>109</v>
      </c>
      <c r="F58" s="2" t="s">
        <v>109</v>
      </c>
      <c r="H58" s="71" t="s">
        <v>276</v>
      </c>
      <c r="I58">
        <v>9</v>
      </c>
      <c r="J58">
        <v>3</v>
      </c>
      <c r="L58" s="36">
        <f>9/12</f>
        <v>0.75</v>
      </c>
      <c r="P58" s="2" t="s">
        <v>236</v>
      </c>
      <c r="Q58" s="3" t="s">
        <v>111</v>
      </c>
      <c r="R58" s="2" t="s">
        <v>237</v>
      </c>
      <c r="S58" s="2" t="s">
        <v>109</v>
      </c>
      <c r="T58" s="2" t="s">
        <v>238</v>
      </c>
      <c r="U58" s="2" t="s">
        <v>111</v>
      </c>
      <c r="V58" s="2" t="s">
        <v>215</v>
      </c>
      <c r="W58" s="2" t="s">
        <v>109</v>
      </c>
    </row>
    <row r="59" spans="1:23" x14ac:dyDescent="0.25">
      <c r="A59" s="2" t="s">
        <v>238</v>
      </c>
      <c r="B59" s="2" t="s">
        <v>109</v>
      </c>
      <c r="C59" s="2" t="s">
        <v>109</v>
      </c>
      <c r="D59" s="2" t="s">
        <v>111</v>
      </c>
      <c r="E59" s="2" t="s">
        <v>109</v>
      </c>
      <c r="F59" s="2" t="s">
        <v>109</v>
      </c>
      <c r="P59" s="2" t="s">
        <v>236</v>
      </c>
      <c r="Q59" s="3" t="s">
        <v>111</v>
      </c>
      <c r="T59" s="2" t="s">
        <v>238</v>
      </c>
      <c r="U59" s="2" t="s">
        <v>111</v>
      </c>
      <c r="V59" s="2" t="s">
        <v>215</v>
      </c>
      <c r="W59" s="2" t="s">
        <v>109</v>
      </c>
    </row>
    <row r="60" spans="1:23" x14ac:dyDescent="0.25">
      <c r="A60" s="2" t="s">
        <v>215</v>
      </c>
      <c r="B60" s="2" t="s">
        <v>109</v>
      </c>
      <c r="C60" s="2" t="s">
        <v>109</v>
      </c>
      <c r="D60" s="2" t="s">
        <v>111</v>
      </c>
      <c r="E60" s="2" t="s">
        <v>109</v>
      </c>
      <c r="F60" s="2" t="s">
        <v>109</v>
      </c>
      <c r="P60" s="2" t="s">
        <v>236</v>
      </c>
      <c r="Q60" s="2" t="s">
        <v>111</v>
      </c>
      <c r="T60" s="2" t="s">
        <v>238</v>
      </c>
      <c r="U60" s="2" t="s">
        <v>111</v>
      </c>
      <c r="V60" s="2" t="s">
        <v>215</v>
      </c>
      <c r="W60" s="2" t="s">
        <v>109</v>
      </c>
    </row>
    <row r="61" spans="1:23" x14ac:dyDescent="0.25">
      <c r="A61" s="2" t="s">
        <v>236</v>
      </c>
      <c r="B61" s="2" t="s">
        <v>109</v>
      </c>
      <c r="C61" s="2" t="s">
        <v>109</v>
      </c>
      <c r="D61" s="2" t="s">
        <v>109</v>
      </c>
      <c r="E61" s="2" t="s">
        <v>109</v>
      </c>
      <c r="F61" s="2" t="s">
        <v>109</v>
      </c>
      <c r="P61" s="2" t="s">
        <v>236</v>
      </c>
      <c r="Q61" s="2" t="s">
        <v>111</v>
      </c>
      <c r="T61" s="2" t="s">
        <v>238</v>
      </c>
      <c r="U61" s="2" t="s">
        <v>111</v>
      </c>
      <c r="V61" s="2" t="s">
        <v>215</v>
      </c>
      <c r="W61" s="2" t="s">
        <v>109</v>
      </c>
    </row>
    <row r="62" spans="1:23" x14ac:dyDescent="0.25">
      <c r="A62" s="2" t="s">
        <v>236</v>
      </c>
      <c r="B62" s="2" t="s">
        <v>109</v>
      </c>
      <c r="C62" s="2" t="s">
        <v>109</v>
      </c>
      <c r="D62" s="2" t="s">
        <v>109</v>
      </c>
      <c r="E62" s="2" t="s">
        <v>109</v>
      </c>
      <c r="F62" s="2" t="s">
        <v>109</v>
      </c>
      <c r="P62" s="2" t="s">
        <v>236</v>
      </c>
      <c r="Q62" s="2" t="s">
        <v>111</v>
      </c>
      <c r="T62" s="2" t="s">
        <v>238</v>
      </c>
      <c r="U62" s="2" t="s">
        <v>111</v>
      </c>
      <c r="V62" s="2" t="s">
        <v>215</v>
      </c>
      <c r="W62" s="2" t="s">
        <v>109</v>
      </c>
    </row>
    <row r="63" spans="1:23" x14ac:dyDescent="0.25">
      <c r="A63" s="2" t="s">
        <v>236</v>
      </c>
      <c r="B63" s="2" t="s">
        <v>109</v>
      </c>
      <c r="C63" s="2" t="s">
        <v>109</v>
      </c>
      <c r="D63" s="2" t="s">
        <v>109</v>
      </c>
      <c r="E63" s="2" t="s">
        <v>109</v>
      </c>
      <c r="F63" s="2" t="s">
        <v>109</v>
      </c>
      <c r="P63" s="2" t="s">
        <v>236</v>
      </c>
      <c r="Q63" s="2" t="s">
        <v>111</v>
      </c>
      <c r="T63" s="2" t="s">
        <v>238</v>
      </c>
      <c r="U63" s="2" t="s">
        <v>111</v>
      </c>
      <c r="V63" s="3" t="s">
        <v>215</v>
      </c>
      <c r="W63" s="3" t="s">
        <v>109</v>
      </c>
    </row>
    <row r="64" spans="1:23" x14ac:dyDescent="0.25">
      <c r="A64" s="2" t="s">
        <v>236</v>
      </c>
      <c r="B64" s="2" t="s">
        <v>109</v>
      </c>
      <c r="C64" s="2" t="s">
        <v>109</v>
      </c>
      <c r="D64" s="2" t="s">
        <v>109</v>
      </c>
      <c r="E64" s="2" t="s">
        <v>109</v>
      </c>
      <c r="F64" s="2" t="s">
        <v>109</v>
      </c>
      <c r="P64" s="2" t="s">
        <v>236</v>
      </c>
      <c r="Q64" s="2" t="s">
        <v>111</v>
      </c>
      <c r="T64" s="2" t="s">
        <v>238</v>
      </c>
      <c r="U64" s="2" t="s">
        <v>111</v>
      </c>
      <c r="V64" s="2" t="s">
        <v>215</v>
      </c>
      <c r="W64" s="2" t="s">
        <v>109</v>
      </c>
    </row>
    <row r="65" spans="1:23" x14ac:dyDescent="0.25">
      <c r="A65" s="2" t="s">
        <v>236</v>
      </c>
      <c r="B65" s="3" t="s">
        <v>109</v>
      </c>
      <c r="C65" s="3" t="s">
        <v>109</v>
      </c>
      <c r="D65" s="3" t="s">
        <v>109</v>
      </c>
      <c r="E65" s="3" t="s">
        <v>109</v>
      </c>
      <c r="F65" s="3" t="s">
        <v>109</v>
      </c>
      <c r="P65" s="2" t="s">
        <v>236</v>
      </c>
      <c r="Q65" s="2" t="s">
        <v>111</v>
      </c>
      <c r="T65" s="2" t="s">
        <v>238</v>
      </c>
      <c r="U65" s="2" t="s">
        <v>111</v>
      </c>
      <c r="V65" s="2" t="s">
        <v>215</v>
      </c>
      <c r="W65" s="2" t="s">
        <v>109</v>
      </c>
    </row>
    <row r="66" spans="1:23" x14ac:dyDescent="0.25">
      <c r="A66" s="2" t="s">
        <v>236</v>
      </c>
      <c r="B66" s="2" t="s">
        <v>109</v>
      </c>
      <c r="C66" s="2" t="s">
        <v>109</v>
      </c>
      <c r="D66" s="2" t="s">
        <v>109</v>
      </c>
      <c r="E66" s="2" t="s">
        <v>109</v>
      </c>
      <c r="F66" s="2" t="s">
        <v>109</v>
      </c>
      <c r="P66" s="3" t="s">
        <v>236</v>
      </c>
      <c r="Q66" s="3" t="s">
        <v>111</v>
      </c>
      <c r="T66" s="2" t="s">
        <v>238</v>
      </c>
      <c r="U66" s="2" t="s">
        <v>111</v>
      </c>
    </row>
    <row r="67" spans="1:23" x14ac:dyDescent="0.25">
      <c r="A67" s="2" t="s">
        <v>236</v>
      </c>
      <c r="B67" s="2" t="s">
        <v>109</v>
      </c>
      <c r="C67" s="2" t="s">
        <v>109</v>
      </c>
      <c r="D67" s="2" t="s">
        <v>109</v>
      </c>
      <c r="E67" s="2" t="s">
        <v>109</v>
      </c>
      <c r="F67" s="2" t="s">
        <v>109</v>
      </c>
      <c r="P67" s="2" t="s">
        <v>236</v>
      </c>
      <c r="Q67" s="2" t="s">
        <v>111</v>
      </c>
      <c r="T67" s="2" t="s">
        <v>238</v>
      </c>
      <c r="U67" s="2" t="s">
        <v>111</v>
      </c>
    </row>
    <row r="68" spans="1:23" x14ac:dyDescent="0.25">
      <c r="A68" s="2" t="s">
        <v>236</v>
      </c>
      <c r="B68" s="2" t="s">
        <v>109</v>
      </c>
      <c r="C68" s="2" t="s">
        <v>109</v>
      </c>
      <c r="D68" s="2" t="s">
        <v>109</v>
      </c>
      <c r="E68" s="2" t="s">
        <v>109</v>
      </c>
      <c r="F68" s="2" t="s">
        <v>109</v>
      </c>
      <c r="P68" s="2" t="s">
        <v>236</v>
      </c>
      <c r="Q68" s="2" t="s">
        <v>111</v>
      </c>
      <c r="T68" s="2" t="s">
        <v>238</v>
      </c>
      <c r="U68" s="2" t="s">
        <v>111</v>
      </c>
    </row>
    <row r="69" spans="1:23" x14ac:dyDescent="0.25">
      <c r="A69" s="2" t="s">
        <v>236</v>
      </c>
      <c r="B69" s="2" t="s">
        <v>109</v>
      </c>
      <c r="C69" s="2" t="s">
        <v>109</v>
      </c>
      <c r="D69" s="2" t="s">
        <v>109</v>
      </c>
      <c r="E69" s="2" t="s">
        <v>109</v>
      </c>
      <c r="F69" s="2" t="s">
        <v>109</v>
      </c>
      <c r="P69" s="2" t="s">
        <v>236</v>
      </c>
      <c r="Q69" s="2" t="s">
        <v>111</v>
      </c>
      <c r="T69" s="2" t="s">
        <v>238</v>
      </c>
      <c r="U69" s="2" t="s">
        <v>111</v>
      </c>
    </row>
    <row r="70" spans="1:23" x14ac:dyDescent="0.25">
      <c r="A70" s="2" t="s">
        <v>237</v>
      </c>
      <c r="B70" s="2" t="s">
        <v>109</v>
      </c>
      <c r="C70" s="2" t="s">
        <v>109</v>
      </c>
      <c r="D70" s="2" t="s">
        <v>109</v>
      </c>
      <c r="E70" s="2" t="s">
        <v>109</v>
      </c>
      <c r="F70" s="2" t="s">
        <v>109</v>
      </c>
      <c r="P70" s="2" t="s">
        <v>236</v>
      </c>
      <c r="Q70" s="2" t="s">
        <v>111</v>
      </c>
      <c r="T70" s="2" t="s">
        <v>238</v>
      </c>
      <c r="U70" s="2" t="s">
        <v>111</v>
      </c>
    </row>
    <row r="71" spans="1:23" x14ac:dyDescent="0.25">
      <c r="A71" s="2" t="s">
        <v>237</v>
      </c>
      <c r="B71" s="2" t="s">
        <v>109</v>
      </c>
      <c r="C71" s="2" t="s">
        <v>109</v>
      </c>
      <c r="D71" s="2" t="s">
        <v>109</v>
      </c>
      <c r="E71" s="2" t="s">
        <v>109</v>
      </c>
      <c r="F71" s="2" t="s">
        <v>109</v>
      </c>
      <c r="P71" s="2" t="s">
        <v>236</v>
      </c>
      <c r="Q71" s="2" t="s">
        <v>109</v>
      </c>
      <c r="T71" s="2" t="s">
        <v>238</v>
      </c>
      <c r="U71" s="2" t="s">
        <v>111</v>
      </c>
    </row>
    <row r="72" spans="1:23" x14ac:dyDescent="0.25">
      <c r="A72" s="2" t="s">
        <v>238</v>
      </c>
      <c r="B72" s="2" t="s">
        <v>109</v>
      </c>
      <c r="C72" s="2" t="s">
        <v>109</v>
      </c>
      <c r="D72" s="2" t="s">
        <v>109</v>
      </c>
      <c r="E72" s="2" t="s">
        <v>109</v>
      </c>
      <c r="F72" s="2" t="s">
        <v>109</v>
      </c>
      <c r="P72" s="2" t="s">
        <v>236</v>
      </c>
      <c r="Q72" s="2" t="s">
        <v>109</v>
      </c>
      <c r="T72" s="2" t="s">
        <v>238</v>
      </c>
      <c r="U72" s="2" t="s">
        <v>111</v>
      </c>
    </row>
    <row r="73" spans="1:23" x14ac:dyDescent="0.25">
      <c r="A73" s="2" t="s">
        <v>238</v>
      </c>
      <c r="B73" s="2" t="s">
        <v>109</v>
      </c>
      <c r="C73" s="2" t="s">
        <v>109</v>
      </c>
      <c r="D73" s="2" t="s">
        <v>109</v>
      </c>
      <c r="E73" s="2" t="s">
        <v>109</v>
      </c>
      <c r="F73" s="2" t="s">
        <v>109</v>
      </c>
      <c r="P73" s="2" t="s">
        <v>236</v>
      </c>
      <c r="Q73" s="2" t="s">
        <v>109</v>
      </c>
      <c r="T73" s="2" t="s">
        <v>238</v>
      </c>
      <c r="U73" s="2" t="s">
        <v>111</v>
      </c>
    </row>
    <row r="74" spans="1:23" x14ac:dyDescent="0.25">
      <c r="A74" s="2" t="s">
        <v>238</v>
      </c>
      <c r="B74" s="2" t="s">
        <v>109</v>
      </c>
      <c r="C74" s="2" t="s">
        <v>109</v>
      </c>
      <c r="D74" s="2" t="s">
        <v>109</v>
      </c>
      <c r="E74" s="2" t="s">
        <v>109</v>
      </c>
      <c r="F74" s="2" t="s">
        <v>109</v>
      </c>
      <c r="P74" s="2" t="s">
        <v>236</v>
      </c>
      <c r="Q74" s="2" t="s">
        <v>109</v>
      </c>
      <c r="T74" s="2" t="s">
        <v>238</v>
      </c>
      <c r="U74" s="2" t="s">
        <v>111</v>
      </c>
    </row>
    <row r="75" spans="1:23" x14ac:dyDescent="0.25">
      <c r="A75" s="2" t="s">
        <v>238</v>
      </c>
      <c r="B75" s="2" t="s">
        <v>109</v>
      </c>
      <c r="C75" s="2" t="s">
        <v>109</v>
      </c>
      <c r="D75" s="2" t="s">
        <v>109</v>
      </c>
      <c r="E75" s="2" t="s">
        <v>109</v>
      </c>
      <c r="F75" s="2" t="s">
        <v>109</v>
      </c>
      <c r="P75" s="2" t="s">
        <v>236</v>
      </c>
      <c r="Q75" s="2" t="s">
        <v>109</v>
      </c>
      <c r="T75" s="2" t="s">
        <v>238</v>
      </c>
      <c r="U75" s="2" t="s">
        <v>111</v>
      </c>
    </row>
    <row r="76" spans="1:23" x14ac:dyDescent="0.25">
      <c r="A76" s="2" t="s">
        <v>238</v>
      </c>
      <c r="B76" s="2" t="s">
        <v>109</v>
      </c>
      <c r="C76" s="2" t="s">
        <v>109</v>
      </c>
      <c r="D76" s="2" t="s">
        <v>109</v>
      </c>
      <c r="E76" s="2" t="s">
        <v>109</v>
      </c>
      <c r="F76" s="2" t="s">
        <v>109</v>
      </c>
      <c r="P76" s="2" t="s">
        <v>236</v>
      </c>
      <c r="Q76" s="2" t="s">
        <v>109</v>
      </c>
      <c r="T76" s="2" t="s">
        <v>238</v>
      </c>
      <c r="U76" s="2" t="s">
        <v>111</v>
      </c>
    </row>
    <row r="77" spans="1:23" x14ac:dyDescent="0.25">
      <c r="A77" s="2" t="s">
        <v>215</v>
      </c>
      <c r="B77" s="2" t="s">
        <v>109</v>
      </c>
      <c r="C77" s="2" t="s">
        <v>109</v>
      </c>
      <c r="D77" s="2" t="s">
        <v>109</v>
      </c>
      <c r="E77" s="2" t="s">
        <v>109</v>
      </c>
      <c r="F77" s="2" t="s">
        <v>109</v>
      </c>
      <c r="P77" s="2" t="s">
        <v>236</v>
      </c>
      <c r="Q77" s="2" t="s">
        <v>109</v>
      </c>
      <c r="T77" s="2" t="s">
        <v>238</v>
      </c>
      <c r="U77" s="2" t="s">
        <v>111</v>
      </c>
    </row>
    <row r="78" spans="1:23" x14ac:dyDescent="0.25">
      <c r="A78" s="3" t="s">
        <v>215</v>
      </c>
      <c r="B78" s="3" t="s">
        <v>109</v>
      </c>
      <c r="C78" s="3" t="s">
        <v>109</v>
      </c>
      <c r="D78" s="3" t="s">
        <v>109</v>
      </c>
      <c r="E78" s="3" t="s">
        <v>109</v>
      </c>
      <c r="F78" s="3" t="s">
        <v>109</v>
      </c>
      <c r="P78" s="2" t="s">
        <v>236</v>
      </c>
      <c r="Q78" s="2" t="s">
        <v>109</v>
      </c>
      <c r="T78" s="2" t="s">
        <v>238</v>
      </c>
      <c r="U78" s="2" t="s">
        <v>111</v>
      </c>
    </row>
    <row r="79" spans="1:23" x14ac:dyDescent="0.25">
      <c r="A79" s="2" t="s">
        <v>215</v>
      </c>
      <c r="B79" s="2" t="s">
        <v>109</v>
      </c>
      <c r="C79" s="2" t="s">
        <v>109</v>
      </c>
      <c r="D79" s="2" t="s">
        <v>109</v>
      </c>
      <c r="E79" s="2" t="s">
        <v>109</v>
      </c>
      <c r="F79" s="2" t="s">
        <v>109</v>
      </c>
      <c r="P79" s="2" t="s">
        <v>236</v>
      </c>
      <c r="Q79" s="2" t="s">
        <v>109</v>
      </c>
      <c r="T79" s="2" t="s">
        <v>238</v>
      </c>
      <c r="U79" s="2" t="s">
        <v>111</v>
      </c>
    </row>
    <row r="80" spans="1:23" x14ac:dyDescent="0.25">
      <c r="A80" s="2" t="s">
        <v>215</v>
      </c>
      <c r="B80" s="2" t="s">
        <v>109</v>
      </c>
      <c r="C80" s="2" t="s">
        <v>109</v>
      </c>
      <c r="D80" s="2" t="s">
        <v>109</v>
      </c>
      <c r="E80" s="2" t="s">
        <v>109</v>
      </c>
      <c r="F80" s="2" t="s">
        <v>109</v>
      </c>
      <c r="P80" s="2" t="s">
        <v>236</v>
      </c>
      <c r="Q80" s="3" t="s">
        <v>109</v>
      </c>
      <c r="T80" s="3" t="s">
        <v>238</v>
      </c>
      <c r="U80" s="3" t="s">
        <v>111</v>
      </c>
    </row>
    <row r="81" spans="1:24" x14ac:dyDescent="0.25">
      <c r="A81" s="2" t="s">
        <v>236</v>
      </c>
      <c r="B81" s="2" t="s">
        <v>119</v>
      </c>
      <c r="C81" s="2"/>
      <c r="D81" s="2"/>
      <c r="E81" s="2"/>
      <c r="F81" s="2"/>
      <c r="P81" s="2" t="s">
        <v>236</v>
      </c>
      <c r="Q81" s="2" t="s">
        <v>109</v>
      </c>
      <c r="T81" s="2" t="s">
        <v>238</v>
      </c>
      <c r="U81" s="2" t="s">
        <v>111</v>
      </c>
    </row>
    <row r="82" spans="1:24" x14ac:dyDescent="0.25">
      <c r="A82" s="2" t="s">
        <v>238</v>
      </c>
      <c r="B82" s="2" t="s">
        <v>119</v>
      </c>
      <c r="C82" s="2"/>
      <c r="D82" s="2"/>
      <c r="E82" s="2"/>
      <c r="F82" s="2"/>
      <c r="P82" s="2" t="s">
        <v>236</v>
      </c>
      <c r="Q82" s="2" t="s">
        <v>109</v>
      </c>
      <c r="T82" s="2" t="s">
        <v>238</v>
      </c>
      <c r="U82" s="2" t="s">
        <v>111</v>
      </c>
    </row>
    <row r="83" spans="1:24" x14ac:dyDescent="0.25">
      <c r="A83" s="2" t="s">
        <v>238</v>
      </c>
      <c r="B83" s="2" t="s">
        <v>119</v>
      </c>
      <c r="C83" s="2"/>
      <c r="D83" s="2"/>
      <c r="E83" s="2"/>
      <c r="F83" s="2"/>
      <c r="P83" s="2" t="s">
        <v>236</v>
      </c>
      <c r="Q83" s="2" t="s">
        <v>109</v>
      </c>
      <c r="T83" s="2" t="s">
        <v>238</v>
      </c>
      <c r="U83" s="2" t="s">
        <v>111</v>
      </c>
    </row>
    <row r="84" spans="1:24" x14ac:dyDescent="0.25">
      <c r="A84" s="2" t="s">
        <v>238</v>
      </c>
      <c r="B84" s="2" t="s">
        <v>119</v>
      </c>
      <c r="C84" s="2"/>
      <c r="D84" s="2"/>
      <c r="E84" s="2"/>
      <c r="F84" s="2"/>
      <c r="P84" s="2" t="s">
        <v>236</v>
      </c>
      <c r="Q84" s="2" t="s">
        <v>109</v>
      </c>
      <c r="T84" s="2" t="s">
        <v>238</v>
      </c>
      <c r="U84" s="2" t="s">
        <v>111</v>
      </c>
    </row>
    <row r="85" spans="1:24" x14ac:dyDescent="0.25">
      <c r="A85" s="2" t="s">
        <v>238</v>
      </c>
      <c r="B85" s="2" t="s">
        <v>119</v>
      </c>
      <c r="C85" s="2"/>
      <c r="D85" s="2"/>
      <c r="E85" s="2"/>
      <c r="F85" s="2"/>
      <c r="P85" s="2" t="s">
        <v>236</v>
      </c>
      <c r="Q85" s="2" t="s">
        <v>109</v>
      </c>
      <c r="T85" s="2" t="s">
        <v>238</v>
      </c>
      <c r="U85" s="2" t="s">
        <v>111</v>
      </c>
    </row>
    <row r="86" spans="1:24" x14ac:dyDescent="0.25">
      <c r="A86" s="2" t="s">
        <v>215</v>
      </c>
      <c r="B86" s="2" t="s">
        <v>119</v>
      </c>
      <c r="C86" s="2"/>
      <c r="D86" s="2"/>
      <c r="E86" s="2"/>
      <c r="F86" s="2"/>
      <c r="P86" s="2" t="s">
        <v>236</v>
      </c>
      <c r="Q86" s="3" t="s">
        <v>109</v>
      </c>
      <c r="T86" s="2" t="s">
        <v>238</v>
      </c>
      <c r="U86" s="2" t="s">
        <v>111</v>
      </c>
    </row>
    <row r="87" spans="1:24" x14ac:dyDescent="0.25">
      <c r="A87" s="2" t="s">
        <v>215</v>
      </c>
      <c r="B87" s="2" t="s">
        <v>119</v>
      </c>
      <c r="C87" s="2"/>
      <c r="D87" s="2"/>
      <c r="E87" s="2"/>
      <c r="F87" s="2"/>
      <c r="P87" s="2" t="s">
        <v>236</v>
      </c>
      <c r="Q87" s="2" t="s">
        <v>109</v>
      </c>
      <c r="T87" s="2" t="s">
        <v>238</v>
      </c>
      <c r="U87" s="2" t="s">
        <v>111</v>
      </c>
    </row>
    <row r="88" spans="1:24" x14ac:dyDescent="0.25">
      <c r="A88" s="2" t="s">
        <v>236</v>
      </c>
      <c r="B88" s="2" t="s">
        <v>111</v>
      </c>
      <c r="C88" s="2"/>
      <c r="D88" s="2"/>
      <c r="E88" s="2"/>
      <c r="F88" s="2"/>
      <c r="P88" s="2" t="s">
        <v>236</v>
      </c>
      <c r="Q88" s="2" t="s">
        <v>109</v>
      </c>
      <c r="T88" s="2" t="s">
        <v>238</v>
      </c>
      <c r="U88" s="2" t="s">
        <v>109</v>
      </c>
    </row>
    <row r="89" spans="1:24" x14ac:dyDescent="0.25">
      <c r="A89" s="2" t="s">
        <v>236</v>
      </c>
      <c r="B89" s="2" t="s">
        <v>111</v>
      </c>
      <c r="C89" s="2"/>
      <c r="D89" s="2"/>
      <c r="E89" s="2"/>
      <c r="F89" s="2"/>
      <c r="P89" s="2" t="s">
        <v>236</v>
      </c>
      <c r="Q89" s="2" t="s">
        <v>109</v>
      </c>
      <c r="T89" s="2" t="s">
        <v>238</v>
      </c>
      <c r="U89" s="2" t="s">
        <v>109</v>
      </c>
    </row>
    <row r="90" spans="1:24" x14ac:dyDescent="0.25">
      <c r="A90" s="2" t="s">
        <v>236</v>
      </c>
      <c r="B90" s="2" t="s">
        <v>111</v>
      </c>
      <c r="C90" s="2"/>
      <c r="D90" s="2"/>
      <c r="E90" s="2"/>
      <c r="F90" s="2"/>
      <c r="P90" s="2" t="s">
        <v>236</v>
      </c>
      <c r="Q90" s="2" t="s">
        <v>109</v>
      </c>
      <c r="T90" s="2" t="s">
        <v>238</v>
      </c>
      <c r="U90" s="2" t="s">
        <v>109</v>
      </c>
    </row>
    <row r="91" spans="1:24" x14ac:dyDescent="0.25">
      <c r="A91" s="2" t="s">
        <v>236</v>
      </c>
      <c r="B91" s="2" t="s">
        <v>111</v>
      </c>
      <c r="C91" s="2"/>
      <c r="D91" s="2"/>
      <c r="E91" s="2"/>
      <c r="F91" s="2"/>
      <c r="T91" s="2" t="s">
        <v>238</v>
      </c>
      <c r="U91" s="2" t="s">
        <v>109</v>
      </c>
    </row>
    <row r="92" spans="1:24" x14ac:dyDescent="0.25">
      <c r="A92" s="2" t="s">
        <v>236</v>
      </c>
      <c r="B92" s="3" t="s">
        <v>111</v>
      </c>
      <c r="C92" s="3"/>
      <c r="D92" s="3"/>
      <c r="E92" s="3"/>
      <c r="F92" s="3"/>
      <c r="T92" s="2" t="s">
        <v>238</v>
      </c>
      <c r="U92" s="2" t="s">
        <v>109</v>
      </c>
    </row>
    <row r="93" spans="1:24" x14ac:dyDescent="0.25">
      <c r="A93" s="2" t="s">
        <v>236</v>
      </c>
      <c r="B93" s="3" t="s">
        <v>111</v>
      </c>
      <c r="C93" s="3"/>
      <c r="D93" s="3"/>
      <c r="E93" s="3"/>
      <c r="F93" s="3"/>
      <c r="T93" s="2" t="s">
        <v>238</v>
      </c>
      <c r="U93" s="2" t="s">
        <v>109</v>
      </c>
    </row>
    <row r="94" spans="1:24" x14ac:dyDescent="0.25">
      <c r="A94" s="2" t="s">
        <v>236</v>
      </c>
      <c r="B94" s="2" t="s">
        <v>111</v>
      </c>
      <c r="C94" s="2"/>
      <c r="D94" s="2"/>
      <c r="E94" s="2"/>
      <c r="F94" s="2"/>
      <c r="T94" s="2" t="s">
        <v>238</v>
      </c>
      <c r="U94" s="2" t="s">
        <v>109</v>
      </c>
    </row>
    <row r="95" spans="1:24" x14ac:dyDescent="0.25">
      <c r="A95" s="2" t="s">
        <v>236</v>
      </c>
      <c r="B95" s="2" t="s">
        <v>111</v>
      </c>
      <c r="C95" s="2"/>
      <c r="D95" s="2"/>
      <c r="E95" s="2"/>
      <c r="F95" s="2"/>
      <c r="T95" s="2" t="s">
        <v>238</v>
      </c>
      <c r="U95" s="2" t="s">
        <v>109</v>
      </c>
      <c r="X95" s="2"/>
    </row>
    <row r="96" spans="1:24" x14ac:dyDescent="0.25">
      <c r="A96" s="2" t="s">
        <v>236</v>
      </c>
      <c r="B96" s="2" t="s">
        <v>111</v>
      </c>
      <c r="C96" s="2"/>
      <c r="D96" s="2"/>
      <c r="E96" s="2"/>
      <c r="F96" s="2"/>
      <c r="T96" s="2" t="s">
        <v>238</v>
      </c>
      <c r="U96" s="2" t="s">
        <v>109</v>
      </c>
      <c r="X96" s="2"/>
    </row>
    <row r="97" spans="1:24" x14ac:dyDescent="0.25">
      <c r="A97" s="2" t="s">
        <v>236</v>
      </c>
      <c r="B97" s="2" t="s">
        <v>111</v>
      </c>
      <c r="C97" s="2"/>
      <c r="D97" s="2"/>
      <c r="E97" s="2"/>
      <c r="F97" s="2"/>
      <c r="T97" s="2" t="s">
        <v>238</v>
      </c>
      <c r="U97" s="2" t="s">
        <v>109</v>
      </c>
      <c r="X97" s="2"/>
    </row>
    <row r="98" spans="1:24" x14ac:dyDescent="0.25">
      <c r="A98" s="2" t="s">
        <v>236</v>
      </c>
      <c r="B98" s="2" t="s">
        <v>111</v>
      </c>
      <c r="C98" s="2"/>
      <c r="D98" s="2"/>
      <c r="E98" s="2"/>
      <c r="F98" s="2"/>
      <c r="T98" s="2" t="s">
        <v>238</v>
      </c>
      <c r="U98" s="2" t="s">
        <v>109</v>
      </c>
      <c r="X98" s="2"/>
    </row>
    <row r="99" spans="1:24" x14ac:dyDescent="0.25">
      <c r="A99" s="2" t="s">
        <v>236</v>
      </c>
      <c r="B99" s="2" t="s">
        <v>111</v>
      </c>
      <c r="C99" s="2"/>
      <c r="D99" s="2"/>
      <c r="E99" s="2"/>
      <c r="F99" s="2"/>
      <c r="T99" s="2" t="s">
        <v>238</v>
      </c>
      <c r="U99" s="2" t="s">
        <v>109</v>
      </c>
    </row>
    <row r="100" spans="1:24" x14ac:dyDescent="0.25">
      <c r="A100" s="3" t="s">
        <v>236</v>
      </c>
      <c r="B100" s="3" t="s">
        <v>111</v>
      </c>
      <c r="C100" s="3"/>
      <c r="D100" s="3"/>
      <c r="E100" s="3"/>
      <c r="F100" s="3"/>
      <c r="T100" s="2" t="s">
        <v>238</v>
      </c>
      <c r="U100" s="2" t="s">
        <v>109</v>
      </c>
    </row>
    <row r="101" spans="1:24" x14ac:dyDescent="0.25">
      <c r="A101" s="2" t="s">
        <v>236</v>
      </c>
      <c r="B101" s="2" t="s">
        <v>111</v>
      </c>
      <c r="C101" s="2"/>
      <c r="D101" s="2"/>
      <c r="E101" s="2"/>
      <c r="F101" s="2"/>
      <c r="T101" s="2" t="s">
        <v>238</v>
      </c>
      <c r="U101" s="2" t="s">
        <v>109</v>
      </c>
    </row>
    <row r="102" spans="1:24" x14ac:dyDescent="0.25">
      <c r="A102" s="2" t="s">
        <v>236</v>
      </c>
      <c r="B102" s="2" t="s">
        <v>111</v>
      </c>
      <c r="C102" s="2"/>
      <c r="D102" s="2"/>
      <c r="E102" s="2"/>
      <c r="F102" s="2"/>
      <c r="T102" s="2" t="s">
        <v>238</v>
      </c>
      <c r="U102" s="2" t="s">
        <v>109</v>
      </c>
    </row>
    <row r="103" spans="1:24" x14ac:dyDescent="0.25">
      <c r="A103" s="2" t="s">
        <v>236</v>
      </c>
      <c r="B103" s="2" t="s">
        <v>111</v>
      </c>
      <c r="C103" s="2"/>
      <c r="D103" s="2"/>
      <c r="E103" s="2"/>
      <c r="F103" s="2"/>
      <c r="T103" s="2" t="s">
        <v>238</v>
      </c>
      <c r="U103" s="2" t="s">
        <v>109</v>
      </c>
    </row>
    <row r="104" spans="1:24" x14ac:dyDescent="0.25">
      <c r="A104" s="2" t="s">
        <v>236</v>
      </c>
      <c r="B104" s="2" t="s">
        <v>111</v>
      </c>
      <c r="C104" s="2"/>
      <c r="D104" s="2"/>
      <c r="E104" s="2"/>
      <c r="F104" s="2"/>
      <c r="T104" s="2" t="s">
        <v>238</v>
      </c>
      <c r="U104" s="2" t="s">
        <v>109</v>
      </c>
    </row>
    <row r="105" spans="1:24" x14ac:dyDescent="0.25">
      <c r="A105" s="2" t="s">
        <v>237</v>
      </c>
      <c r="B105" s="2" t="s">
        <v>111</v>
      </c>
      <c r="C105" s="2"/>
      <c r="D105" s="2"/>
      <c r="E105" s="2"/>
      <c r="F105" s="2"/>
      <c r="T105" s="2" t="s">
        <v>238</v>
      </c>
      <c r="U105" s="2" t="s">
        <v>109</v>
      </c>
    </row>
    <row r="106" spans="1:24" x14ac:dyDescent="0.25">
      <c r="A106" s="2" t="s">
        <v>237</v>
      </c>
      <c r="B106" s="2" t="s">
        <v>111</v>
      </c>
      <c r="C106" s="2"/>
      <c r="D106" s="2"/>
      <c r="E106" s="2"/>
      <c r="F106" s="2"/>
      <c r="T106" s="2" t="s">
        <v>238</v>
      </c>
      <c r="U106" s="2" t="s">
        <v>109</v>
      </c>
    </row>
    <row r="107" spans="1:24" x14ac:dyDescent="0.25">
      <c r="A107" s="2" t="s">
        <v>238</v>
      </c>
      <c r="B107" s="2" t="s">
        <v>111</v>
      </c>
      <c r="C107" s="2"/>
      <c r="D107" s="2"/>
      <c r="E107" s="2"/>
      <c r="F107" s="2"/>
      <c r="T107" s="2" t="s">
        <v>238</v>
      </c>
      <c r="U107" s="2" t="s">
        <v>109</v>
      </c>
    </row>
    <row r="108" spans="1:24" x14ac:dyDescent="0.25">
      <c r="A108" s="2" t="s">
        <v>238</v>
      </c>
      <c r="B108" s="2" t="s">
        <v>111</v>
      </c>
      <c r="C108" s="2"/>
      <c r="D108" s="2"/>
      <c r="E108" s="2"/>
      <c r="F108" s="2"/>
      <c r="T108" s="2" t="s">
        <v>238</v>
      </c>
      <c r="U108" s="2" t="s">
        <v>109</v>
      </c>
    </row>
    <row r="109" spans="1:24" x14ac:dyDescent="0.25">
      <c r="A109" s="2" t="s">
        <v>238</v>
      </c>
      <c r="B109" s="2" t="s">
        <v>111</v>
      </c>
      <c r="C109" s="2"/>
      <c r="D109" s="2"/>
      <c r="E109" s="2"/>
      <c r="F109" s="2"/>
      <c r="T109" s="2" t="s">
        <v>238</v>
      </c>
      <c r="U109" s="2" t="s">
        <v>109</v>
      </c>
    </row>
    <row r="110" spans="1:24" x14ac:dyDescent="0.25">
      <c r="A110" s="2" t="s">
        <v>238</v>
      </c>
      <c r="B110" s="2" t="s">
        <v>111</v>
      </c>
      <c r="C110" s="2"/>
      <c r="D110" s="2"/>
      <c r="E110" s="2"/>
      <c r="F110" s="2"/>
      <c r="T110" s="2" t="s">
        <v>238</v>
      </c>
      <c r="U110" s="2" t="s">
        <v>109</v>
      </c>
    </row>
    <row r="111" spans="1:24" x14ac:dyDescent="0.25">
      <c r="A111" s="2" t="s">
        <v>238</v>
      </c>
      <c r="B111" s="2" t="s">
        <v>111</v>
      </c>
      <c r="C111" s="2"/>
      <c r="D111" s="2"/>
      <c r="E111" s="2"/>
      <c r="F111" s="2"/>
      <c r="T111" s="2" t="s">
        <v>238</v>
      </c>
      <c r="U111" s="2" t="s">
        <v>109</v>
      </c>
    </row>
    <row r="112" spans="1:24" x14ac:dyDescent="0.25">
      <c r="A112" s="2" t="s">
        <v>238</v>
      </c>
      <c r="B112" s="2" t="s">
        <v>111</v>
      </c>
      <c r="C112" s="2"/>
      <c r="D112" s="2"/>
      <c r="E112" s="2"/>
      <c r="F112" s="2"/>
      <c r="T112" s="2" t="s">
        <v>238</v>
      </c>
      <c r="U112" s="2" t="s">
        <v>109</v>
      </c>
    </row>
    <row r="113" spans="1:21" x14ac:dyDescent="0.25">
      <c r="A113" s="2" t="s">
        <v>238</v>
      </c>
      <c r="B113" s="2" t="s">
        <v>111</v>
      </c>
      <c r="C113" s="2"/>
      <c r="D113" s="2"/>
      <c r="E113" s="2"/>
      <c r="F113" s="2"/>
      <c r="T113" s="2" t="s">
        <v>238</v>
      </c>
      <c r="U113" s="2" t="s">
        <v>109</v>
      </c>
    </row>
    <row r="114" spans="1:21" x14ac:dyDescent="0.25">
      <c r="A114" s="2" t="s">
        <v>238</v>
      </c>
      <c r="B114" s="2" t="s">
        <v>111</v>
      </c>
      <c r="C114" s="2"/>
      <c r="D114" s="2"/>
      <c r="E114" s="2"/>
      <c r="F114" s="2"/>
      <c r="T114" s="2" t="s">
        <v>238</v>
      </c>
      <c r="U114" s="2" t="s">
        <v>109</v>
      </c>
    </row>
    <row r="115" spans="1:21" x14ac:dyDescent="0.25">
      <c r="A115" s="2" t="s">
        <v>238</v>
      </c>
      <c r="B115" s="2" t="s">
        <v>111</v>
      </c>
      <c r="C115" s="2"/>
      <c r="D115" s="2"/>
      <c r="E115" s="2"/>
      <c r="F115" s="2"/>
      <c r="T115" s="2" t="s">
        <v>238</v>
      </c>
      <c r="U115" s="2" t="s">
        <v>109</v>
      </c>
    </row>
    <row r="116" spans="1:21" x14ac:dyDescent="0.25">
      <c r="A116" s="2" t="s">
        <v>238</v>
      </c>
      <c r="B116" s="2" t="s">
        <v>111</v>
      </c>
      <c r="C116" s="2"/>
      <c r="D116" s="2"/>
      <c r="E116" s="2"/>
      <c r="F116" s="2"/>
      <c r="T116" s="2" t="s">
        <v>238</v>
      </c>
      <c r="U116" s="2" t="s">
        <v>109</v>
      </c>
    </row>
    <row r="117" spans="1:21" x14ac:dyDescent="0.25">
      <c r="A117" s="2" t="s">
        <v>238</v>
      </c>
      <c r="B117" s="2" t="s">
        <v>111</v>
      </c>
      <c r="C117" s="2"/>
      <c r="D117" s="2"/>
      <c r="E117" s="2"/>
      <c r="F117" s="2"/>
      <c r="T117" s="2" t="s">
        <v>238</v>
      </c>
      <c r="U117" s="2" t="s">
        <v>109</v>
      </c>
    </row>
    <row r="118" spans="1:21" x14ac:dyDescent="0.25">
      <c r="A118" s="2" t="s">
        <v>238</v>
      </c>
      <c r="B118" s="2" t="s">
        <v>111</v>
      </c>
      <c r="C118" s="2"/>
      <c r="D118" s="2"/>
      <c r="E118" s="2"/>
      <c r="F118" s="2"/>
      <c r="T118" s="2" t="s">
        <v>238</v>
      </c>
      <c r="U118" s="2" t="s">
        <v>109</v>
      </c>
    </row>
    <row r="119" spans="1:21" x14ac:dyDescent="0.25">
      <c r="A119" s="2" t="s">
        <v>238</v>
      </c>
      <c r="B119" s="2" t="s">
        <v>111</v>
      </c>
      <c r="C119" s="2"/>
      <c r="D119" s="2"/>
      <c r="E119" s="2"/>
      <c r="F119" s="2"/>
      <c r="T119" s="2" t="s">
        <v>238</v>
      </c>
      <c r="U119" s="2" t="s">
        <v>109</v>
      </c>
    </row>
    <row r="120" spans="1:21" x14ac:dyDescent="0.25">
      <c r="A120" s="2" t="s">
        <v>238</v>
      </c>
      <c r="B120" s="2" t="s">
        <v>111</v>
      </c>
      <c r="C120" s="2"/>
      <c r="D120" s="2"/>
      <c r="E120" s="2"/>
      <c r="F120" s="2"/>
      <c r="T120" s="2" t="s">
        <v>238</v>
      </c>
      <c r="U120" s="2" t="s">
        <v>109</v>
      </c>
    </row>
    <row r="121" spans="1:21" x14ac:dyDescent="0.25">
      <c r="A121" s="2" t="s">
        <v>238</v>
      </c>
      <c r="B121" s="2" t="s">
        <v>111</v>
      </c>
      <c r="C121" s="2"/>
      <c r="D121" s="2"/>
      <c r="E121" s="2"/>
      <c r="F121" s="2"/>
      <c r="T121" s="2" t="s">
        <v>238</v>
      </c>
      <c r="U121" s="2" t="s">
        <v>109</v>
      </c>
    </row>
    <row r="122" spans="1:21" x14ac:dyDescent="0.25">
      <c r="A122" s="2" t="s">
        <v>238</v>
      </c>
      <c r="B122" s="2" t="s">
        <v>111</v>
      </c>
      <c r="C122" s="2"/>
      <c r="D122" s="2"/>
      <c r="E122" s="2"/>
      <c r="F122" s="2"/>
      <c r="T122" s="2" t="s">
        <v>238</v>
      </c>
      <c r="U122" s="2" t="s">
        <v>109</v>
      </c>
    </row>
    <row r="123" spans="1:21" x14ac:dyDescent="0.25">
      <c r="A123" s="2" t="s">
        <v>238</v>
      </c>
      <c r="B123" s="2" t="s">
        <v>111</v>
      </c>
      <c r="C123" s="2"/>
      <c r="D123" s="2"/>
      <c r="E123" s="2"/>
      <c r="F123" s="2"/>
      <c r="T123" s="2" t="s">
        <v>238</v>
      </c>
      <c r="U123" s="2" t="s">
        <v>109</v>
      </c>
    </row>
    <row r="124" spans="1:21" x14ac:dyDescent="0.25">
      <c r="A124" s="2" t="s">
        <v>238</v>
      </c>
      <c r="B124" s="2" t="s">
        <v>111</v>
      </c>
      <c r="C124" s="2"/>
      <c r="D124" s="2"/>
      <c r="E124" s="2"/>
      <c r="F124" s="2"/>
      <c r="T124" s="2" t="s">
        <v>238</v>
      </c>
      <c r="U124" s="2" t="s">
        <v>109</v>
      </c>
    </row>
    <row r="125" spans="1:21" x14ac:dyDescent="0.25">
      <c r="A125" s="2" t="s">
        <v>238</v>
      </c>
      <c r="B125" s="2" t="s">
        <v>111</v>
      </c>
      <c r="C125" s="2"/>
      <c r="D125" s="2"/>
      <c r="E125" s="2"/>
      <c r="F125" s="2"/>
      <c r="T125" s="2" t="s">
        <v>238</v>
      </c>
      <c r="U125" s="2" t="s">
        <v>109</v>
      </c>
    </row>
    <row r="126" spans="1:21" x14ac:dyDescent="0.25">
      <c r="A126" s="2" t="s">
        <v>238</v>
      </c>
      <c r="B126" s="2" t="s">
        <v>111</v>
      </c>
      <c r="C126" s="2"/>
      <c r="D126" s="2"/>
      <c r="E126" s="2"/>
      <c r="F126" s="2"/>
      <c r="T126" s="2" t="s">
        <v>238</v>
      </c>
      <c r="U126" s="2" t="s">
        <v>109</v>
      </c>
    </row>
    <row r="127" spans="1:21" x14ac:dyDescent="0.25">
      <c r="A127" s="2" t="s">
        <v>238</v>
      </c>
      <c r="B127" s="2" t="s">
        <v>111</v>
      </c>
      <c r="C127" s="2"/>
      <c r="D127" s="2"/>
      <c r="E127" s="2"/>
      <c r="F127" s="2"/>
      <c r="T127" s="2" t="s">
        <v>238</v>
      </c>
      <c r="U127" s="2" t="s">
        <v>109</v>
      </c>
    </row>
    <row r="128" spans="1:21" x14ac:dyDescent="0.25">
      <c r="A128" s="2" t="s">
        <v>238</v>
      </c>
      <c r="B128" s="2" t="s">
        <v>111</v>
      </c>
      <c r="C128" s="2"/>
      <c r="D128" s="2"/>
      <c r="E128" s="2"/>
      <c r="F128" s="2"/>
      <c r="T128" s="2" t="s">
        <v>238</v>
      </c>
      <c r="U128" s="2" t="s">
        <v>109</v>
      </c>
    </row>
    <row r="129" spans="1:21" x14ac:dyDescent="0.25">
      <c r="A129" s="2" t="s">
        <v>238</v>
      </c>
      <c r="B129" s="2" t="s">
        <v>111</v>
      </c>
      <c r="C129" s="2"/>
      <c r="D129" s="2"/>
      <c r="E129" s="2"/>
      <c r="F129" s="2"/>
      <c r="T129" s="2" t="s">
        <v>238</v>
      </c>
      <c r="U129" s="2" t="s">
        <v>109</v>
      </c>
    </row>
    <row r="130" spans="1:21" x14ac:dyDescent="0.25">
      <c r="A130" s="2" t="s">
        <v>238</v>
      </c>
      <c r="B130" s="2" t="s">
        <v>111</v>
      </c>
      <c r="C130" s="2"/>
      <c r="D130" s="2"/>
      <c r="E130" s="2"/>
      <c r="F130" s="2"/>
      <c r="T130" s="2" t="s">
        <v>238</v>
      </c>
      <c r="U130" s="2" t="s">
        <v>109</v>
      </c>
    </row>
    <row r="131" spans="1:21" x14ac:dyDescent="0.25">
      <c r="A131" s="2" t="s">
        <v>238</v>
      </c>
      <c r="B131" s="2" t="s">
        <v>111</v>
      </c>
      <c r="C131" s="2"/>
      <c r="D131" s="2"/>
      <c r="E131" s="2"/>
      <c r="F131" s="2"/>
      <c r="T131" s="2" t="s">
        <v>238</v>
      </c>
      <c r="U131" s="2" t="s">
        <v>109</v>
      </c>
    </row>
    <row r="132" spans="1:21" x14ac:dyDescent="0.25">
      <c r="A132" s="2" t="s">
        <v>238</v>
      </c>
      <c r="B132" s="2" t="s">
        <v>111</v>
      </c>
      <c r="C132" s="2"/>
      <c r="D132" s="2"/>
      <c r="E132" s="2"/>
      <c r="F132" s="2"/>
    </row>
    <row r="133" spans="1:21" x14ac:dyDescent="0.25">
      <c r="A133" s="3" t="s">
        <v>238</v>
      </c>
      <c r="B133" s="3" t="s">
        <v>111</v>
      </c>
      <c r="C133" s="3"/>
      <c r="D133" s="3"/>
      <c r="E133" s="3"/>
      <c r="F133" s="3"/>
    </row>
    <row r="134" spans="1:21" x14ac:dyDescent="0.25">
      <c r="A134" s="2" t="s">
        <v>238</v>
      </c>
      <c r="B134" s="2" t="s">
        <v>111</v>
      </c>
      <c r="C134" s="2"/>
      <c r="D134" s="2"/>
      <c r="E134" s="2"/>
      <c r="F134" s="2"/>
    </row>
    <row r="135" spans="1:21" x14ac:dyDescent="0.25">
      <c r="A135" s="2" t="s">
        <v>238</v>
      </c>
      <c r="B135" s="2" t="s">
        <v>111</v>
      </c>
      <c r="C135" s="2"/>
      <c r="D135" s="2"/>
      <c r="E135" s="2"/>
      <c r="F135" s="2"/>
    </row>
    <row r="136" spans="1:21" x14ac:dyDescent="0.25">
      <c r="A136" s="2" t="s">
        <v>238</v>
      </c>
      <c r="B136" s="2" t="s">
        <v>111</v>
      </c>
      <c r="C136" s="2"/>
      <c r="D136" s="2"/>
      <c r="E136" s="2"/>
      <c r="F136" s="2"/>
    </row>
    <row r="137" spans="1:21" x14ac:dyDescent="0.25">
      <c r="A137" s="2" t="s">
        <v>238</v>
      </c>
      <c r="B137" s="2" t="s">
        <v>111</v>
      </c>
      <c r="C137" s="2"/>
      <c r="D137" s="2"/>
      <c r="E137" s="2"/>
      <c r="F137" s="2"/>
    </row>
    <row r="138" spans="1:21" x14ac:dyDescent="0.25">
      <c r="A138" s="2" t="s">
        <v>238</v>
      </c>
      <c r="B138" s="2" t="s">
        <v>111</v>
      </c>
      <c r="C138" s="2"/>
      <c r="D138" s="2"/>
      <c r="E138" s="2"/>
      <c r="F138" s="2"/>
    </row>
    <row r="139" spans="1:21" x14ac:dyDescent="0.25">
      <c r="A139" s="2" t="s">
        <v>238</v>
      </c>
      <c r="B139" s="2" t="s">
        <v>111</v>
      </c>
      <c r="C139" s="2"/>
      <c r="D139" s="2"/>
      <c r="E139" s="2"/>
      <c r="F139" s="2"/>
    </row>
    <row r="140" spans="1:21" x14ac:dyDescent="0.25">
      <c r="A140" s="2" t="s">
        <v>238</v>
      </c>
      <c r="B140" s="2" t="s">
        <v>111</v>
      </c>
      <c r="C140" s="2"/>
      <c r="D140" s="2"/>
      <c r="E140" s="2"/>
      <c r="F140" s="2"/>
    </row>
    <row r="141" spans="1:21" x14ac:dyDescent="0.25">
      <c r="A141" s="2" t="s">
        <v>215</v>
      </c>
      <c r="B141" s="2" t="s">
        <v>111</v>
      </c>
      <c r="C141" s="2"/>
      <c r="D141" s="2"/>
      <c r="E141" s="2"/>
      <c r="F141" s="2"/>
    </row>
    <row r="142" spans="1:21" x14ac:dyDescent="0.25">
      <c r="A142" s="2" t="s">
        <v>215</v>
      </c>
      <c r="B142" s="2" t="s">
        <v>111</v>
      </c>
      <c r="C142" s="2"/>
      <c r="D142" s="2"/>
      <c r="E142" s="2"/>
      <c r="F142" s="2"/>
    </row>
    <row r="143" spans="1:21" x14ac:dyDescent="0.25">
      <c r="A143" s="2" t="s">
        <v>215</v>
      </c>
      <c r="B143" s="2" t="s">
        <v>111</v>
      </c>
      <c r="C143" s="2"/>
      <c r="D143" s="2"/>
      <c r="E143" s="2"/>
      <c r="F143" s="2"/>
    </row>
    <row r="177" spans="20:21" x14ac:dyDescent="0.25">
      <c r="T177" s="2"/>
      <c r="U177" s="2"/>
    </row>
    <row r="178" spans="20:21" x14ac:dyDescent="0.25">
      <c r="T178" s="2"/>
      <c r="U178" s="2"/>
    </row>
  </sheetData>
  <sortState ref="T52:U190">
    <sortCondition ref="T52:T190"/>
    <sortCondition ref="U52:U190"/>
  </sortState>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3"/>
  <sheetViews>
    <sheetView workbookViewId="0"/>
  </sheetViews>
  <sheetFormatPr defaultRowHeight="15" x14ac:dyDescent="0.25"/>
  <cols>
    <col min="12" max="12" width="20.28515625" bestFit="1" customWidth="1"/>
  </cols>
  <sheetData>
    <row r="1" spans="1:18" x14ac:dyDescent="0.25">
      <c r="A1" s="10" t="s">
        <v>365</v>
      </c>
    </row>
    <row r="2" spans="1:18" x14ac:dyDescent="0.25">
      <c r="G2">
        <v>2015</v>
      </c>
      <c r="K2">
        <v>2013</v>
      </c>
      <c r="O2">
        <v>2012</v>
      </c>
    </row>
    <row r="3" spans="1:18" x14ac:dyDescent="0.25">
      <c r="A3" s="2" t="s">
        <v>236</v>
      </c>
      <c r="B3" s="2" t="s">
        <v>111</v>
      </c>
      <c r="C3" s="19" t="s">
        <v>270</v>
      </c>
      <c r="D3" s="19"/>
      <c r="G3" s="19" t="s">
        <v>269</v>
      </c>
      <c r="H3" s="19"/>
      <c r="K3" s="19" t="s">
        <v>253</v>
      </c>
      <c r="L3" s="19"/>
      <c r="M3" s="19"/>
      <c r="N3" s="19"/>
      <c r="O3" s="28" t="s">
        <v>271</v>
      </c>
      <c r="P3" s="23"/>
      <c r="Q3" s="23"/>
    </row>
    <row r="4" spans="1:18" x14ac:dyDescent="0.25">
      <c r="A4" s="2" t="s">
        <v>236</v>
      </c>
      <c r="B4" s="2" t="s">
        <v>111</v>
      </c>
      <c r="C4" s="19" t="s">
        <v>239</v>
      </c>
      <c r="D4" s="19">
        <v>65</v>
      </c>
      <c r="E4" s="24">
        <f>65/131</f>
        <v>0.49618320610687022</v>
      </c>
      <c r="G4" s="19" t="s">
        <v>239</v>
      </c>
      <c r="H4" s="19">
        <v>68</v>
      </c>
      <c r="I4" s="24">
        <f>68/111</f>
        <v>0.61261261261261257</v>
      </c>
      <c r="K4" s="19" t="s">
        <v>239</v>
      </c>
      <c r="L4" s="19">
        <v>70</v>
      </c>
      <c r="M4" s="24">
        <v>0.53</v>
      </c>
      <c r="N4" s="19"/>
      <c r="O4" s="29" t="s">
        <v>261</v>
      </c>
      <c r="P4" s="23">
        <v>46</v>
      </c>
      <c r="Q4" s="30">
        <v>0.47</v>
      </c>
    </row>
    <row r="5" spans="1:18" x14ac:dyDescent="0.25">
      <c r="A5" s="2" t="s">
        <v>236</v>
      </c>
      <c r="B5" s="2" t="s">
        <v>111</v>
      </c>
      <c r="C5" s="19" t="s">
        <v>240</v>
      </c>
      <c r="D5" s="19">
        <v>66</v>
      </c>
      <c r="E5" s="24">
        <f>66/131</f>
        <v>0.50381679389312972</v>
      </c>
      <c r="G5" s="19" t="s">
        <v>240</v>
      </c>
      <c r="H5" s="19">
        <v>43</v>
      </c>
      <c r="I5" s="24">
        <f>43/111</f>
        <v>0.38738738738738737</v>
      </c>
      <c r="K5" s="19" t="s">
        <v>240</v>
      </c>
      <c r="L5" s="19">
        <v>63</v>
      </c>
      <c r="M5" s="24">
        <v>0.47</v>
      </c>
      <c r="N5" s="19"/>
      <c r="O5" s="29" t="s">
        <v>142</v>
      </c>
      <c r="P5" s="23">
        <v>52</v>
      </c>
      <c r="Q5" s="30">
        <v>0.53</v>
      </c>
    </row>
    <row r="6" spans="1:18" x14ac:dyDescent="0.25">
      <c r="A6" s="2" t="s">
        <v>236</v>
      </c>
      <c r="B6" s="2" t="s">
        <v>111</v>
      </c>
      <c r="D6">
        <f>SUM(D4:D5)</f>
        <v>131</v>
      </c>
      <c r="H6">
        <f>SUM(H4:H5)</f>
        <v>111</v>
      </c>
      <c r="L6">
        <f>SUM(L4:L5)</f>
        <v>133</v>
      </c>
      <c r="P6">
        <f>SUM(P4:P5)</f>
        <v>98</v>
      </c>
    </row>
    <row r="7" spans="1:18" x14ac:dyDescent="0.25">
      <c r="A7" s="2" t="s">
        <v>236</v>
      </c>
      <c r="B7" s="2" t="s">
        <v>111</v>
      </c>
    </row>
    <row r="8" spans="1:18" x14ac:dyDescent="0.25">
      <c r="A8" s="2" t="s">
        <v>236</v>
      </c>
      <c r="B8" s="3" t="s">
        <v>111</v>
      </c>
    </row>
    <row r="9" spans="1:18" x14ac:dyDescent="0.25">
      <c r="A9" s="2" t="s">
        <v>236</v>
      </c>
      <c r="B9" s="3" t="s">
        <v>111</v>
      </c>
      <c r="L9" t="s">
        <v>272</v>
      </c>
    </row>
    <row r="10" spans="1:18" x14ac:dyDescent="0.25">
      <c r="A10" s="2" t="s">
        <v>236</v>
      </c>
      <c r="B10" s="2" t="s">
        <v>111</v>
      </c>
      <c r="M10" s="81" t="s">
        <v>580</v>
      </c>
      <c r="O10" t="s">
        <v>261</v>
      </c>
      <c r="P10" t="s">
        <v>142</v>
      </c>
      <c r="R10" s="19"/>
    </row>
    <row r="11" spans="1:18" x14ac:dyDescent="0.25">
      <c r="A11" s="2" t="s">
        <v>236</v>
      </c>
      <c r="B11" s="2" t="s">
        <v>111</v>
      </c>
      <c r="L11" t="s">
        <v>273</v>
      </c>
      <c r="M11" s="24">
        <v>0.72</v>
      </c>
      <c r="O11">
        <v>26</v>
      </c>
      <c r="P11">
        <v>10</v>
      </c>
      <c r="R11" s="19"/>
    </row>
    <row r="12" spans="1:18" x14ac:dyDescent="0.25">
      <c r="A12" s="2" t="s">
        <v>236</v>
      </c>
      <c r="B12" s="2" t="s">
        <v>111</v>
      </c>
      <c r="L12" t="s">
        <v>274</v>
      </c>
      <c r="M12" s="24">
        <v>0.4</v>
      </c>
      <c r="O12">
        <v>2</v>
      </c>
      <c r="P12">
        <v>3</v>
      </c>
      <c r="R12" s="19"/>
    </row>
    <row r="13" spans="1:18" x14ac:dyDescent="0.25">
      <c r="A13" s="2" t="s">
        <v>237</v>
      </c>
      <c r="B13" s="2" t="s">
        <v>111</v>
      </c>
      <c r="L13" t="s">
        <v>275</v>
      </c>
      <c r="M13" s="24">
        <v>0.32</v>
      </c>
      <c r="O13">
        <v>25</v>
      </c>
      <c r="P13">
        <v>53</v>
      </c>
      <c r="R13" s="19"/>
    </row>
    <row r="14" spans="1:18" x14ac:dyDescent="0.25">
      <c r="A14" s="2" t="s">
        <v>237</v>
      </c>
      <c r="B14" s="2" t="s">
        <v>111</v>
      </c>
      <c r="L14" t="s">
        <v>276</v>
      </c>
      <c r="M14" s="24">
        <v>1</v>
      </c>
      <c r="O14">
        <v>12</v>
      </c>
      <c r="P14">
        <v>0</v>
      </c>
      <c r="R14" s="19"/>
    </row>
    <row r="15" spans="1:18" x14ac:dyDescent="0.25">
      <c r="A15" s="2" t="s">
        <v>237</v>
      </c>
      <c r="B15" s="2" t="s">
        <v>111</v>
      </c>
    </row>
    <row r="16" spans="1:18" x14ac:dyDescent="0.25">
      <c r="A16" s="2" t="s">
        <v>238</v>
      </c>
      <c r="B16" s="2" t="s">
        <v>111</v>
      </c>
    </row>
    <row r="17" spans="1:2" x14ac:dyDescent="0.25">
      <c r="A17" s="2" t="s">
        <v>238</v>
      </c>
      <c r="B17" s="2" t="s">
        <v>111</v>
      </c>
    </row>
    <row r="18" spans="1:2" x14ac:dyDescent="0.25">
      <c r="A18" s="2" t="s">
        <v>238</v>
      </c>
      <c r="B18" s="2" t="s">
        <v>111</v>
      </c>
    </row>
    <row r="19" spans="1:2" x14ac:dyDescent="0.25">
      <c r="A19" s="2" t="s">
        <v>238</v>
      </c>
      <c r="B19" s="2" t="s">
        <v>111</v>
      </c>
    </row>
    <row r="20" spans="1:2" x14ac:dyDescent="0.25">
      <c r="A20" s="2" t="s">
        <v>238</v>
      </c>
      <c r="B20" s="2" t="s">
        <v>111</v>
      </c>
    </row>
    <row r="21" spans="1:2" x14ac:dyDescent="0.25">
      <c r="A21" s="2" t="s">
        <v>238</v>
      </c>
      <c r="B21" s="2" t="s">
        <v>111</v>
      </c>
    </row>
    <row r="22" spans="1:2" x14ac:dyDescent="0.25">
      <c r="A22" s="2" t="s">
        <v>238</v>
      </c>
      <c r="B22" s="2" t="s">
        <v>111</v>
      </c>
    </row>
    <row r="23" spans="1:2" x14ac:dyDescent="0.25">
      <c r="A23" s="2" t="s">
        <v>238</v>
      </c>
      <c r="B23" s="2" t="s">
        <v>111</v>
      </c>
    </row>
    <row r="24" spans="1:2" x14ac:dyDescent="0.25">
      <c r="A24" s="2" t="s">
        <v>238</v>
      </c>
      <c r="B24" s="2" t="s">
        <v>111</v>
      </c>
    </row>
    <row r="25" spans="1:2" x14ac:dyDescent="0.25">
      <c r="A25" s="2" t="s">
        <v>238</v>
      </c>
      <c r="B25" s="2" t="s">
        <v>111</v>
      </c>
    </row>
    <row r="26" spans="1:2" x14ac:dyDescent="0.25">
      <c r="A26" s="2" t="s">
        <v>238</v>
      </c>
      <c r="B26" s="2" t="s">
        <v>111</v>
      </c>
    </row>
    <row r="27" spans="1:2" x14ac:dyDescent="0.25">
      <c r="A27" s="2" t="s">
        <v>238</v>
      </c>
      <c r="B27" s="2" t="s">
        <v>111</v>
      </c>
    </row>
    <row r="28" spans="1:2" x14ac:dyDescent="0.25">
      <c r="A28" s="2" t="s">
        <v>238</v>
      </c>
      <c r="B28" s="2" t="s">
        <v>111</v>
      </c>
    </row>
    <row r="29" spans="1:2" x14ac:dyDescent="0.25">
      <c r="A29" s="2" t="s">
        <v>238</v>
      </c>
      <c r="B29" s="2" t="s">
        <v>111</v>
      </c>
    </row>
    <row r="30" spans="1:2" x14ac:dyDescent="0.25">
      <c r="A30" s="2" t="s">
        <v>238</v>
      </c>
      <c r="B30" s="2" t="s">
        <v>111</v>
      </c>
    </row>
    <row r="31" spans="1:2" x14ac:dyDescent="0.25">
      <c r="A31" s="2" t="s">
        <v>238</v>
      </c>
      <c r="B31" s="2" t="s">
        <v>111</v>
      </c>
    </row>
    <row r="32" spans="1:2" x14ac:dyDescent="0.25">
      <c r="A32" s="2" t="s">
        <v>238</v>
      </c>
      <c r="B32" s="2" t="s">
        <v>111</v>
      </c>
    </row>
    <row r="33" spans="1:2" x14ac:dyDescent="0.25">
      <c r="A33" s="2" t="s">
        <v>238</v>
      </c>
      <c r="B33" s="2" t="s">
        <v>111</v>
      </c>
    </row>
    <row r="34" spans="1:2" x14ac:dyDescent="0.25">
      <c r="A34" s="2" t="s">
        <v>238</v>
      </c>
      <c r="B34" s="2" t="s">
        <v>111</v>
      </c>
    </row>
    <row r="35" spans="1:2" x14ac:dyDescent="0.25">
      <c r="A35" s="2" t="s">
        <v>238</v>
      </c>
      <c r="B35" s="2" t="s">
        <v>111</v>
      </c>
    </row>
    <row r="36" spans="1:2" x14ac:dyDescent="0.25">
      <c r="A36" s="2" t="s">
        <v>238</v>
      </c>
      <c r="B36" s="2" t="s">
        <v>111</v>
      </c>
    </row>
    <row r="37" spans="1:2" x14ac:dyDescent="0.25">
      <c r="A37" s="2" t="s">
        <v>238</v>
      </c>
      <c r="B37" s="2" t="s">
        <v>111</v>
      </c>
    </row>
    <row r="38" spans="1:2" x14ac:dyDescent="0.25">
      <c r="A38" s="2" t="s">
        <v>238</v>
      </c>
      <c r="B38" s="2" t="s">
        <v>111</v>
      </c>
    </row>
    <row r="39" spans="1:2" x14ac:dyDescent="0.25">
      <c r="A39" s="2" t="s">
        <v>238</v>
      </c>
      <c r="B39" s="2" t="s">
        <v>111</v>
      </c>
    </row>
    <row r="40" spans="1:2" x14ac:dyDescent="0.25">
      <c r="A40" s="2" t="s">
        <v>238</v>
      </c>
      <c r="B40" s="2" t="s">
        <v>111</v>
      </c>
    </row>
    <row r="41" spans="1:2" x14ac:dyDescent="0.25">
      <c r="A41" s="2" t="s">
        <v>238</v>
      </c>
      <c r="B41" s="2" t="s">
        <v>111</v>
      </c>
    </row>
    <row r="42" spans="1:2" x14ac:dyDescent="0.25">
      <c r="A42" s="2" t="s">
        <v>238</v>
      </c>
      <c r="B42" s="2" t="s">
        <v>111</v>
      </c>
    </row>
    <row r="43" spans="1:2" x14ac:dyDescent="0.25">
      <c r="A43" s="2" t="s">
        <v>238</v>
      </c>
      <c r="B43" s="2" t="s">
        <v>111</v>
      </c>
    </row>
    <row r="44" spans="1:2" x14ac:dyDescent="0.25">
      <c r="A44" s="2" t="s">
        <v>238</v>
      </c>
      <c r="B44" s="2" t="s">
        <v>111</v>
      </c>
    </row>
    <row r="45" spans="1:2" x14ac:dyDescent="0.25">
      <c r="A45" s="2" t="s">
        <v>238</v>
      </c>
      <c r="B45" s="2" t="s">
        <v>111</v>
      </c>
    </row>
    <row r="46" spans="1:2" x14ac:dyDescent="0.25">
      <c r="A46" s="2" t="s">
        <v>238</v>
      </c>
      <c r="B46" s="2" t="s">
        <v>111</v>
      </c>
    </row>
    <row r="47" spans="1:2" x14ac:dyDescent="0.25">
      <c r="A47" s="2" t="s">
        <v>238</v>
      </c>
      <c r="B47" s="2" t="s">
        <v>111</v>
      </c>
    </row>
    <row r="48" spans="1:2" x14ac:dyDescent="0.25">
      <c r="A48" s="2" t="s">
        <v>238</v>
      </c>
      <c r="B48" s="2" t="s">
        <v>111</v>
      </c>
    </row>
    <row r="49" spans="1:2" x14ac:dyDescent="0.25">
      <c r="A49" s="2" t="s">
        <v>238</v>
      </c>
      <c r="B49" s="2" t="s">
        <v>111</v>
      </c>
    </row>
    <row r="50" spans="1:2" x14ac:dyDescent="0.25">
      <c r="A50" s="2" t="s">
        <v>238</v>
      </c>
      <c r="B50" s="2" t="s">
        <v>111</v>
      </c>
    </row>
    <row r="51" spans="1:2" x14ac:dyDescent="0.25">
      <c r="A51" s="2" t="s">
        <v>238</v>
      </c>
      <c r="B51" s="2" t="s">
        <v>111</v>
      </c>
    </row>
    <row r="52" spans="1:2" x14ac:dyDescent="0.25">
      <c r="A52" s="2" t="s">
        <v>238</v>
      </c>
      <c r="B52" s="2" t="s">
        <v>111</v>
      </c>
    </row>
    <row r="53" spans="1:2" x14ac:dyDescent="0.25">
      <c r="A53" s="2" t="s">
        <v>238</v>
      </c>
      <c r="B53" s="2" t="s">
        <v>111</v>
      </c>
    </row>
    <row r="54" spans="1:2" x14ac:dyDescent="0.25">
      <c r="A54" s="2" t="s">
        <v>238</v>
      </c>
      <c r="B54" s="2" t="s">
        <v>111</v>
      </c>
    </row>
    <row r="55" spans="1:2" x14ac:dyDescent="0.25">
      <c r="A55" s="2" t="s">
        <v>238</v>
      </c>
      <c r="B55" s="2" t="s">
        <v>111</v>
      </c>
    </row>
    <row r="56" spans="1:2" x14ac:dyDescent="0.25">
      <c r="A56" s="2" t="s">
        <v>238</v>
      </c>
      <c r="B56" s="2" t="s">
        <v>111</v>
      </c>
    </row>
    <row r="57" spans="1:2" x14ac:dyDescent="0.25">
      <c r="A57" s="2" t="s">
        <v>238</v>
      </c>
      <c r="B57" s="2" t="s">
        <v>111</v>
      </c>
    </row>
    <row r="58" spans="1:2" x14ac:dyDescent="0.25">
      <c r="A58" s="2" t="s">
        <v>238</v>
      </c>
      <c r="B58" s="2" t="s">
        <v>111</v>
      </c>
    </row>
    <row r="59" spans="1:2" x14ac:dyDescent="0.25">
      <c r="A59" s="2" t="s">
        <v>238</v>
      </c>
      <c r="B59" s="2" t="s">
        <v>111</v>
      </c>
    </row>
    <row r="60" spans="1:2" x14ac:dyDescent="0.25">
      <c r="A60" s="2" t="s">
        <v>238</v>
      </c>
      <c r="B60" s="2" t="s">
        <v>111</v>
      </c>
    </row>
    <row r="61" spans="1:2" x14ac:dyDescent="0.25">
      <c r="A61" s="2" t="s">
        <v>238</v>
      </c>
      <c r="B61" s="2" t="s">
        <v>111</v>
      </c>
    </row>
    <row r="62" spans="1:2" x14ac:dyDescent="0.25">
      <c r="A62" s="2" t="s">
        <v>238</v>
      </c>
      <c r="B62" s="2" t="s">
        <v>111</v>
      </c>
    </row>
    <row r="63" spans="1:2" x14ac:dyDescent="0.25">
      <c r="A63" s="2" t="s">
        <v>238</v>
      </c>
      <c r="B63" s="2" t="s">
        <v>111</v>
      </c>
    </row>
    <row r="64" spans="1:2" x14ac:dyDescent="0.25">
      <c r="A64" s="2" t="s">
        <v>238</v>
      </c>
      <c r="B64" s="2" t="s">
        <v>111</v>
      </c>
    </row>
    <row r="65" spans="1:2" x14ac:dyDescent="0.25">
      <c r="A65" s="2" t="s">
        <v>238</v>
      </c>
      <c r="B65" s="2" t="s">
        <v>111</v>
      </c>
    </row>
    <row r="66" spans="1:2" x14ac:dyDescent="0.25">
      <c r="A66" s="2" t="s">
        <v>238</v>
      </c>
      <c r="B66" s="2" t="s">
        <v>111</v>
      </c>
    </row>
    <row r="67" spans="1:2" x14ac:dyDescent="0.25">
      <c r="A67" s="2" t="s">
        <v>238</v>
      </c>
      <c r="B67" s="2" t="s">
        <v>111</v>
      </c>
    </row>
    <row r="68" spans="1:2" x14ac:dyDescent="0.25">
      <c r="A68" s="2" t="s">
        <v>238</v>
      </c>
      <c r="B68" s="2" t="s">
        <v>111</v>
      </c>
    </row>
    <row r="69" spans="1:2" x14ac:dyDescent="0.25">
      <c r="A69" s="2" t="s">
        <v>236</v>
      </c>
      <c r="B69" s="2" t="s">
        <v>109</v>
      </c>
    </row>
    <row r="70" spans="1:2" x14ac:dyDescent="0.25">
      <c r="A70" s="2" t="s">
        <v>236</v>
      </c>
      <c r="B70" s="2" t="s">
        <v>109</v>
      </c>
    </row>
    <row r="71" spans="1:2" x14ac:dyDescent="0.25">
      <c r="A71" s="2" t="s">
        <v>236</v>
      </c>
      <c r="B71" s="2" t="s">
        <v>109</v>
      </c>
    </row>
    <row r="72" spans="1:2" x14ac:dyDescent="0.25">
      <c r="A72" s="2" t="s">
        <v>236</v>
      </c>
      <c r="B72" s="2" t="s">
        <v>109</v>
      </c>
    </row>
    <row r="73" spans="1:2" x14ac:dyDescent="0.25">
      <c r="A73" s="2" t="s">
        <v>236</v>
      </c>
      <c r="B73" s="2" t="s">
        <v>109</v>
      </c>
    </row>
    <row r="74" spans="1:2" x14ac:dyDescent="0.25">
      <c r="A74" s="2" t="s">
        <v>236</v>
      </c>
      <c r="B74" s="2" t="s">
        <v>109</v>
      </c>
    </row>
    <row r="75" spans="1:2" x14ac:dyDescent="0.25">
      <c r="A75" s="2" t="s">
        <v>236</v>
      </c>
      <c r="B75" s="2" t="s">
        <v>109</v>
      </c>
    </row>
    <row r="76" spans="1:2" x14ac:dyDescent="0.25">
      <c r="A76" s="2" t="s">
        <v>236</v>
      </c>
      <c r="B76" s="2" t="s">
        <v>109</v>
      </c>
    </row>
    <row r="77" spans="1:2" x14ac:dyDescent="0.25">
      <c r="A77" s="2" t="s">
        <v>236</v>
      </c>
      <c r="B77" s="2" t="s">
        <v>109</v>
      </c>
    </row>
    <row r="78" spans="1:2" x14ac:dyDescent="0.25">
      <c r="A78" s="2" t="s">
        <v>236</v>
      </c>
      <c r="B78" s="2" t="s">
        <v>109</v>
      </c>
    </row>
    <row r="79" spans="1:2" x14ac:dyDescent="0.25">
      <c r="A79" s="2" t="s">
        <v>236</v>
      </c>
      <c r="B79" s="3" t="s">
        <v>109</v>
      </c>
    </row>
    <row r="80" spans="1:2" x14ac:dyDescent="0.25">
      <c r="A80" s="2" t="s">
        <v>236</v>
      </c>
      <c r="B80" s="3" t="s">
        <v>109</v>
      </c>
    </row>
    <row r="81" spans="1:2" x14ac:dyDescent="0.25">
      <c r="A81" s="2" t="s">
        <v>236</v>
      </c>
      <c r="B81" s="2" t="s">
        <v>109</v>
      </c>
    </row>
    <row r="82" spans="1:2" x14ac:dyDescent="0.25">
      <c r="A82" s="2" t="s">
        <v>236</v>
      </c>
      <c r="B82" s="2" t="s">
        <v>109</v>
      </c>
    </row>
    <row r="83" spans="1:2" x14ac:dyDescent="0.25">
      <c r="A83" s="2" t="s">
        <v>236</v>
      </c>
      <c r="B83" s="2" t="s">
        <v>109</v>
      </c>
    </row>
    <row r="84" spans="1:2" x14ac:dyDescent="0.25">
      <c r="A84" s="2" t="s">
        <v>236</v>
      </c>
      <c r="B84" s="2" t="s">
        <v>109</v>
      </c>
    </row>
    <row r="85" spans="1:2" x14ac:dyDescent="0.25">
      <c r="A85" s="2" t="s">
        <v>236</v>
      </c>
      <c r="B85" s="2" t="s">
        <v>109</v>
      </c>
    </row>
    <row r="86" spans="1:2" x14ac:dyDescent="0.25">
      <c r="A86" s="2" t="s">
        <v>236</v>
      </c>
      <c r="B86" s="2" t="s">
        <v>109</v>
      </c>
    </row>
    <row r="87" spans="1:2" x14ac:dyDescent="0.25">
      <c r="A87" s="2" t="s">
        <v>236</v>
      </c>
      <c r="B87" s="2" t="s">
        <v>109</v>
      </c>
    </row>
    <row r="88" spans="1:2" x14ac:dyDescent="0.25">
      <c r="A88" s="3" t="s">
        <v>236</v>
      </c>
      <c r="B88" s="3" t="s">
        <v>109</v>
      </c>
    </row>
    <row r="89" spans="1:2" x14ac:dyDescent="0.25">
      <c r="A89" s="2" t="s">
        <v>236</v>
      </c>
      <c r="B89" s="2" t="s">
        <v>109</v>
      </c>
    </row>
    <row r="90" spans="1:2" x14ac:dyDescent="0.25">
      <c r="A90" s="2" t="s">
        <v>236</v>
      </c>
      <c r="B90" s="2" t="s">
        <v>109</v>
      </c>
    </row>
    <row r="91" spans="1:2" x14ac:dyDescent="0.25">
      <c r="A91" s="2" t="s">
        <v>236</v>
      </c>
      <c r="B91" s="2" t="s">
        <v>109</v>
      </c>
    </row>
    <row r="92" spans="1:2" x14ac:dyDescent="0.25">
      <c r="A92" s="2" t="s">
        <v>236</v>
      </c>
      <c r="B92" s="2" t="s">
        <v>109</v>
      </c>
    </row>
    <row r="93" spans="1:2" x14ac:dyDescent="0.25">
      <c r="A93" s="2" t="s">
        <v>236</v>
      </c>
      <c r="B93" s="2" t="s">
        <v>109</v>
      </c>
    </row>
    <row r="94" spans="1:2" x14ac:dyDescent="0.25">
      <c r="A94" s="2" t="s">
        <v>236</v>
      </c>
      <c r="B94" s="2" t="s">
        <v>109</v>
      </c>
    </row>
    <row r="95" spans="1:2" x14ac:dyDescent="0.25">
      <c r="A95" s="2" t="s">
        <v>237</v>
      </c>
      <c r="B95" s="2" t="s">
        <v>109</v>
      </c>
    </row>
    <row r="96" spans="1:2" x14ac:dyDescent="0.25">
      <c r="A96" s="2" t="s">
        <v>237</v>
      </c>
      <c r="B96" s="2" t="s">
        <v>109</v>
      </c>
    </row>
    <row r="97" spans="1:2" x14ac:dyDescent="0.25">
      <c r="A97" s="2" t="s">
        <v>238</v>
      </c>
      <c r="B97" s="2" t="s">
        <v>109</v>
      </c>
    </row>
    <row r="98" spans="1:2" x14ac:dyDescent="0.25">
      <c r="A98" s="2" t="s">
        <v>238</v>
      </c>
      <c r="B98" s="2" t="s">
        <v>109</v>
      </c>
    </row>
    <row r="99" spans="1:2" x14ac:dyDescent="0.25">
      <c r="A99" s="2" t="s">
        <v>238</v>
      </c>
      <c r="B99" s="2" t="s">
        <v>109</v>
      </c>
    </row>
    <row r="100" spans="1:2" x14ac:dyDescent="0.25">
      <c r="A100" s="2" t="s">
        <v>238</v>
      </c>
      <c r="B100" s="2" t="s">
        <v>109</v>
      </c>
    </row>
    <row r="101" spans="1:2" x14ac:dyDescent="0.25">
      <c r="A101" s="2" t="s">
        <v>238</v>
      </c>
      <c r="B101" s="2" t="s">
        <v>109</v>
      </c>
    </row>
    <row r="102" spans="1:2" x14ac:dyDescent="0.25">
      <c r="A102" s="2" t="s">
        <v>238</v>
      </c>
      <c r="B102" s="2" t="s">
        <v>109</v>
      </c>
    </row>
    <row r="103" spans="1:2" x14ac:dyDescent="0.25">
      <c r="A103" s="2" t="s">
        <v>238</v>
      </c>
      <c r="B103" s="2" t="s">
        <v>109</v>
      </c>
    </row>
    <row r="104" spans="1:2" x14ac:dyDescent="0.25">
      <c r="A104" s="2" t="s">
        <v>238</v>
      </c>
      <c r="B104" s="2" t="s">
        <v>109</v>
      </c>
    </row>
    <row r="105" spans="1:2" x14ac:dyDescent="0.25">
      <c r="A105" s="2" t="s">
        <v>238</v>
      </c>
      <c r="B105" s="2" t="s">
        <v>109</v>
      </c>
    </row>
    <row r="106" spans="1:2" x14ac:dyDescent="0.25">
      <c r="A106" s="2" t="s">
        <v>238</v>
      </c>
      <c r="B106" s="2" t="s">
        <v>109</v>
      </c>
    </row>
    <row r="107" spans="1:2" x14ac:dyDescent="0.25">
      <c r="A107" s="2" t="s">
        <v>238</v>
      </c>
      <c r="B107" s="2" t="s">
        <v>109</v>
      </c>
    </row>
    <row r="108" spans="1:2" x14ac:dyDescent="0.25">
      <c r="A108" s="2" t="s">
        <v>238</v>
      </c>
      <c r="B108" s="2" t="s">
        <v>109</v>
      </c>
    </row>
    <row r="109" spans="1:2" x14ac:dyDescent="0.25">
      <c r="A109" s="2" t="s">
        <v>238</v>
      </c>
      <c r="B109" s="2" t="s">
        <v>109</v>
      </c>
    </row>
    <row r="110" spans="1:2" x14ac:dyDescent="0.25">
      <c r="A110" s="2" t="s">
        <v>238</v>
      </c>
      <c r="B110" s="2" t="s">
        <v>109</v>
      </c>
    </row>
    <row r="111" spans="1:2" x14ac:dyDescent="0.25">
      <c r="A111" s="2" t="s">
        <v>238</v>
      </c>
      <c r="B111" s="2" t="s">
        <v>109</v>
      </c>
    </row>
    <row r="112" spans="1:2" x14ac:dyDescent="0.25">
      <c r="A112" s="2" t="s">
        <v>238</v>
      </c>
      <c r="B112" s="2" t="s">
        <v>109</v>
      </c>
    </row>
    <row r="113" spans="1:2" x14ac:dyDescent="0.25">
      <c r="A113" s="2" t="s">
        <v>238</v>
      </c>
      <c r="B113" s="2" t="s">
        <v>109</v>
      </c>
    </row>
    <row r="114" spans="1:2" x14ac:dyDescent="0.25">
      <c r="A114" s="2" t="s">
        <v>238</v>
      </c>
      <c r="B114" s="2" t="s">
        <v>109</v>
      </c>
    </row>
    <row r="115" spans="1:2" x14ac:dyDescent="0.25">
      <c r="A115" s="2" t="s">
        <v>238</v>
      </c>
      <c r="B115" s="2" t="s">
        <v>109</v>
      </c>
    </row>
    <row r="116" spans="1:2" x14ac:dyDescent="0.25">
      <c r="A116" s="2" t="s">
        <v>238</v>
      </c>
      <c r="B116" s="2" t="s">
        <v>109</v>
      </c>
    </row>
    <row r="117" spans="1:2" x14ac:dyDescent="0.25">
      <c r="A117" s="3" t="s">
        <v>238</v>
      </c>
      <c r="B117" s="3" t="s">
        <v>109</v>
      </c>
    </row>
    <row r="118" spans="1:2" x14ac:dyDescent="0.25">
      <c r="A118" s="2" t="s">
        <v>238</v>
      </c>
      <c r="B118" s="2" t="s">
        <v>109</v>
      </c>
    </row>
    <row r="119" spans="1:2" x14ac:dyDescent="0.25">
      <c r="A119" s="2" t="s">
        <v>238</v>
      </c>
      <c r="B119" s="2" t="s">
        <v>109</v>
      </c>
    </row>
    <row r="120" spans="1:2" x14ac:dyDescent="0.25">
      <c r="A120" s="2" t="s">
        <v>238</v>
      </c>
      <c r="B120" s="2" t="s">
        <v>109</v>
      </c>
    </row>
    <row r="121" spans="1:2" x14ac:dyDescent="0.25">
      <c r="A121" s="2" t="s">
        <v>238</v>
      </c>
      <c r="B121" s="2" t="s">
        <v>109</v>
      </c>
    </row>
    <row r="122" spans="1:2" x14ac:dyDescent="0.25">
      <c r="A122" s="2" t="s">
        <v>215</v>
      </c>
      <c r="B122" s="2" t="s">
        <v>109</v>
      </c>
    </row>
    <row r="123" spans="1:2" x14ac:dyDescent="0.25">
      <c r="A123" s="2" t="s">
        <v>215</v>
      </c>
      <c r="B123" s="2" t="s">
        <v>109</v>
      </c>
    </row>
    <row r="124" spans="1:2" x14ac:dyDescent="0.25">
      <c r="A124" s="2" t="s">
        <v>215</v>
      </c>
      <c r="B124" s="2" t="s">
        <v>109</v>
      </c>
    </row>
    <row r="125" spans="1:2" x14ac:dyDescent="0.25">
      <c r="A125" s="2" t="s">
        <v>215</v>
      </c>
      <c r="B125" s="2" t="s">
        <v>109</v>
      </c>
    </row>
    <row r="126" spans="1:2" x14ac:dyDescent="0.25">
      <c r="A126" s="3" t="s">
        <v>215</v>
      </c>
      <c r="B126" s="3" t="s">
        <v>109</v>
      </c>
    </row>
    <row r="127" spans="1:2" x14ac:dyDescent="0.25">
      <c r="A127" s="2" t="s">
        <v>215</v>
      </c>
      <c r="B127" s="2" t="s">
        <v>109</v>
      </c>
    </row>
    <row r="128" spans="1:2" x14ac:dyDescent="0.25">
      <c r="A128" s="2" t="s">
        <v>215</v>
      </c>
      <c r="B128" s="2" t="s">
        <v>109</v>
      </c>
    </row>
    <row r="129" spans="1:2" x14ac:dyDescent="0.25">
      <c r="A129" s="2" t="s">
        <v>215</v>
      </c>
      <c r="B129" s="2" t="s">
        <v>109</v>
      </c>
    </row>
    <row r="130" spans="1:2" x14ac:dyDescent="0.25">
      <c r="A130" s="2" t="s">
        <v>215</v>
      </c>
      <c r="B130" s="2" t="s">
        <v>109</v>
      </c>
    </row>
    <row r="131" spans="1:2" x14ac:dyDescent="0.25">
      <c r="A131" s="2" t="s">
        <v>215</v>
      </c>
      <c r="B131" s="2" t="s">
        <v>109</v>
      </c>
    </row>
    <row r="132" spans="1:2" x14ac:dyDescent="0.25">
      <c r="A132" s="2" t="s">
        <v>215</v>
      </c>
      <c r="B132" s="2" t="s">
        <v>109</v>
      </c>
    </row>
    <row r="133" spans="1:2" x14ac:dyDescent="0.25">
      <c r="A133" s="2" t="s">
        <v>215</v>
      </c>
      <c r="B133" s="2" t="s">
        <v>109</v>
      </c>
    </row>
  </sheetData>
  <sortState ref="A3:B150">
    <sortCondition ref="B3:B150"/>
    <sortCondition ref="A3:A150"/>
  </sortState>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44"/>
  <sheetViews>
    <sheetView workbookViewId="0"/>
  </sheetViews>
  <sheetFormatPr defaultRowHeight="15" x14ac:dyDescent="0.25"/>
  <cols>
    <col min="1" max="1" width="11" customWidth="1"/>
    <col min="2" max="2" width="9.7109375" customWidth="1"/>
    <col min="3" max="3" width="9.140625" customWidth="1"/>
    <col min="4" max="4" width="12.5703125" style="66" customWidth="1"/>
    <col min="5" max="6" width="9.140625" customWidth="1"/>
    <col min="7" max="7" width="12.5703125" style="66" customWidth="1"/>
    <col min="8" max="9" width="9.140625" customWidth="1"/>
    <col min="10" max="10" width="12.5703125" style="66" customWidth="1"/>
    <col min="11" max="12" width="9.140625" customWidth="1"/>
    <col min="13" max="13" width="12.5703125" style="66" customWidth="1"/>
    <col min="14" max="15" width="9.140625" customWidth="1"/>
    <col min="16" max="16" width="12.5703125" style="66" customWidth="1"/>
    <col min="17" max="18" width="9.140625" customWidth="1"/>
    <col min="19" max="19" width="12.5703125" style="66" customWidth="1"/>
    <col min="20" max="21" width="9.140625" customWidth="1"/>
    <col min="22" max="22" width="12.5703125" style="66" customWidth="1"/>
    <col min="23" max="23" width="5" customWidth="1"/>
    <col min="24" max="24" width="12.140625" customWidth="1"/>
    <col min="25" max="25" width="11.85546875" style="66" customWidth="1"/>
    <col min="27" max="27" width="31.28515625" customWidth="1"/>
    <col min="28" max="28" width="16.28515625" style="19" customWidth="1"/>
    <col min="29" max="29" width="15.5703125" style="19" bestFit="1" customWidth="1"/>
    <col min="30" max="30" width="16.28515625" bestFit="1" customWidth="1"/>
    <col min="31" max="31" width="15.5703125" bestFit="1" customWidth="1"/>
    <col min="32" max="32" width="15.28515625" bestFit="1" customWidth="1"/>
    <col min="33" max="33" width="29.28515625" customWidth="1"/>
  </cols>
  <sheetData>
    <row r="1" spans="1:49" x14ac:dyDescent="0.25">
      <c r="A1" s="10" t="s">
        <v>366</v>
      </c>
    </row>
    <row r="2" spans="1:49" s="19" customFormat="1" x14ac:dyDescent="0.25">
      <c r="A2" s="10" t="s">
        <v>548</v>
      </c>
      <c r="D2" s="66"/>
      <c r="G2" s="66"/>
      <c r="J2" s="66"/>
      <c r="M2" s="66"/>
      <c r="P2" s="66"/>
      <c r="S2" s="66"/>
      <c r="V2" s="66"/>
      <c r="Y2" s="66"/>
    </row>
    <row r="3" spans="1:49" x14ac:dyDescent="0.25">
      <c r="AA3" s="19" t="s">
        <v>562</v>
      </c>
      <c r="AG3" s="19" t="s">
        <v>563</v>
      </c>
    </row>
    <row r="4" spans="1:49" s="43" customFormat="1" ht="12" x14ac:dyDescent="0.2">
      <c r="A4" s="6"/>
      <c r="B4" s="8" t="s">
        <v>536</v>
      </c>
      <c r="D4" s="67"/>
      <c r="E4" s="8" t="s">
        <v>537</v>
      </c>
      <c r="G4" s="67"/>
      <c r="H4" s="8" t="s">
        <v>538</v>
      </c>
      <c r="J4" s="67"/>
      <c r="K4" s="8" t="s">
        <v>539</v>
      </c>
      <c r="M4" s="67"/>
      <c r="N4" s="8" t="s">
        <v>540</v>
      </c>
      <c r="P4" s="67"/>
      <c r="Q4" s="8" t="s">
        <v>541</v>
      </c>
      <c r="S4" s="67"/>
      <c r="T4" s="8" t="s">
        <v>542</v>
      </c>
      <c r="V4" s="67"/>
      <c r="W4" s="8" t="s">
        <v>543</v>
      </c>
      <c r="Y4" s="67"/>
      <c r="AB4" s="43" t="s">
        <v>558</v>
      </c>
      <c r="AC4" s="43" t="s">
        <v>557</v>
      </c>
      <c r="AD4" s="43" t="s">
        <v>556</v>
      </c>
    </row>
    <row r="5" spans="1:49" s="43" customFormat="1" ht="12" x14ac:dyDescent="0.2">
      <c r="B5" s="43" t="s">
        <v>546</v>
      </c>
      <c r="C5" s="8" t="s">
        <v>545</v>
      </c>
      <c r="D5" s="67" t="s">
        <v>549</v>
      </c>
      <c r="E5" s="43" t="s">
        <v>546</v>
      </c>
      <c r="F5" s="8" t="s">
        <v>545</v>
      </c>
      <c r="G5" s="67" t="s">
        <v>549</v>
      </c>
      <c r="H5" s="43" t="s">
        <v>546</v>
      </c>
      <c r="I5" s="8" t="s">
        <v>545</v>
      </c>
      <c r="J5" s="67" t="s">
        <v>549</v>
      </c>
      <c r="K5" s="43" t="s">
        <v>546</v>
      </c>
      <c r="L5" s="8" t="s">
        <v>545</v>
      </c>
      <c r="M5" s="67" t="s">
        <v>549</v>
      </c>
      <c r="N5" s="43" t="s">
        <v>546</v>
      </c>
      <c r="O5" s="8" t="s">
        <v>545</v>
      </c>
      <c r="P5" s="67" t="s">
        <v>549</v>
      </c>
      <c r="Q5" s="43" t="s">
        <v>546</v>
      </c>
      <c r="R5" s="8" t="s">
        <v>545</v>
      </c>
      <c r="S5" s="67" t="s">
        <v>549</v>
      </c>
      <c r="T5" s="43" t="s">
        <v>546</v>
      </c>
      <c r="U5" s="8" t="s">
        <v>545</v>
      </c>
      <c r="V5" s="67" t="s">
        <v>549</v>
      </c>
      <c r="X5" s="8" t="s">
        <v>545</v>
      </c>
      <c r="Y5" s="67" t="s">
        <v>549</v>
      </c>
      <c r="AA5" s="8" t="s">
        <v>543</v>
      </c>
      <c r="AB5" s="63">
        <f>Y143/120</f>
        <v>0.56666666666666665</v>
      </c>
      <c r="AC5" s="63">
        <f>X143/120</f>
        <v>0.43333333333333335</v>
      </c>
      <c r="AD5" s="69"/>
      <c r="AH5" s="70" t="s">
        <v>273</v>
      </c>
      <c r="AI5" s="70" t="s">
        <v>274</v>
      </c>
      <c r="AJ5" s="70" t="s">
        <v>561</v>
      </c>
      <c r="AK5" s="70" t="s">
        <v>560</v>
      </c>
      <c r="AN5" s="70" t="s">
        <v>273</v>
      </c>
      <c r="AO5" s="70" t="s">
        <v>274</v>
      </c>
      <c r="AP5" s="70" t="s">
        <v>561</v>
      </c>
      <c r="AQ5" s="70" t="s">
        <v>560</v>
      </c>
      <c r="AT5" s="70" t="s">
        <v>273</v>
      </c>
      <c r="AU5" s="70" t="s">
        <v>274</v>
      </c>
      <c r="AV5" s="70" t="s">
        <v>561</v>
      </c>
      <c r="AW5" s="70" t="s">
        <v>560</v>
      </c>
    </row>
    <row r="6" spans="1:49" x14ac:dyDescent="0.25">
      <c r="A6" s="2" t="s">
        <v>236</v>
      </c>
      <c r="B6" s="2">
        <v>1</v>
      </c>
      <c r="C6" s="2">
        <v>0</v>
      </c>
      <c r="D6" s="68">
        <v>0</v>
      </c>
      <c r="E6" s="2">
        <v>1</v>
      </c>
      <c r="F6" s="2">
        <v>0</v>
      </c>
      <c r="G6" s="68">
        <v>0</v>
      </c>
      <c r="H6" s="2">
        <v>1</v>
      </c>
      <c r="I6" s="2">
        <v>1</v>
      </c>
      <c r="J6" s="68">
        <v>0</v>
      </c>
      <c r="K6" s="2">
        <v>0</v>
      </c>
      <c r="L6" s="2">
        <v>0</v>
      </c>
      <c r="M6" s="68">
        <v>1</v>
      </c>
      <c r="N6" s="2">
        <v>0</v>
      </c>
      <c r="O6" s="2">
        <v>0</v>
      </c>
      <c r="P6" s="68">
        <v>1</v>
      </c>
      <c r="Q6" s="2">
        <v>0</v>
      </c>
      <c r="R6" s="2">
        <v>0</v>
      </c>
      <c r="S6" s="68">
        <v>1</v>
      </c>
      <c r="T6" s="2">
        <v>0</v>
      </c>
      <c r="U6" s="2">
        <v>0</v>
      </c>
      <c r="V6" s="68">
        <v>1</v>
      </c>
      <c r="W6" s="4"/>
      <c r="X6" s="2">
        <v>0</v>
      </c>
      <c r="Y6" s="68">
        <v>1</v>
      </c>
      <c r="AA6" s="8" t="s">
        <v>540</v>
      </c>
      <c r="AB6" s="63">
        <f>P143/113</f>
        <v>0.80530973451327437</v>
      </c>
      <c r="AC6" s="63">
        <f>O143/113</f>
        <v>7.0796460176991149E-2</v>
      </c>
      <c r="AD6" s="63">
        <f>N143/113</f>
        <v>0.18584070796460178</v>
      </c>
      <c r="AG6" s="8" t="s">
        <v>543</v>
      </c>
      <c r="AH6" s="63">
        <f>20/32</f>
        <v>0.625</v>
      </c>
      <c r="AI6" s="63">
        <f>2/3</f>
        <v>0.66666666666666663</v>
      </c>
      <c r="AJ6" s="63">
        <f>20/71</f>
        <v>0.28169014084507044</v>
      </c>
      <c r="AK6" s="63">
        <f>10/14</f>
        <v>0.7142857142857143</v>
      </c>
      <c r="AM6" s="8" t="s">
        <v>540</v>
      </c>
      <c r="AN6" s="63">
        <f>1/27</f>
        <v>3.7037037037037035E-2</v>
      </c>
      <c r="AO6" s="63">
        <v>0</v>
      </c>
      <c r="AP6" s="63">
        <f>18/70</f>
        <v>0.25714285714285712</v>
      </c>
      <c r="AQ6" s="63">
        <f>2/13</f>
        <v>0.15384615384615385</v>
      </c>
      <c r="AS6" s="8" t="s">
        <v>536</v>
      </c>
      <c r="AT6" s="63">
        <f>35/35</f>
        <v>1</v>
      </c>
      <c r="AU6" s="63">
        <f>35/35</f>
        <v>1</v>
      </c>
      <c r="AV6" s="63">
        <f>67/78</f>
        <v>0.85897435897435892</v>
      </c>
      <c r="AW6" s="63">
        <f>14/14</f>
        <v>1</v>
      </c>
    </row>
    <row r="7" spans="1:49" x14ac:dyDescent="0.25">
      <c r="A7" s="2" t="s">
        <v>236</v>
      </c>
      <c r="B7" s="3">
        <v>1</v>
      </c>
      <c r="C7" s="3">
        <v>0</v>
      </c>
      <c r="D7" s="68">
        <v>0</v>
      </c>
      <c r="E7" s="3">
        <v>1</v>
      </c>
      <c r="F7" s="3">
        <v>1</v>
      </c>
      <c r="G7" s="68">
        <v>0</v>
      </c>
      <c r="H7" s="3">
        <v>1</v>
      </c>
      <c r="I7" s="3">
        <v>1</v>
      </c>
      <c r="J7" s="68">
        <v>0</v>
      </c>
      <c r="K7" s="3">
        <v>1</v>
      </c>
      <c r="L7" s="3">
        <v>1</v>
      </c>
      <c r="M7" s="68">
        <v>0</v>
      </c>
      <c r="N7" s="3">
        <v>0</v>
      </c>
      <c r="O7" s="3">
        <v>0</v>
      </c>
      <c r="P7" s="68">
        <v>1</v>
      </c>
      <c r="Q7" s="3">
        <v>1</v>
      </c>
      <c r="R7" s="3">
        <v>0</v>
      </c>
      <c r="S7" s="68">
        <v>0</v>
      </c>
      <c r="T7" s="3">
        <v>0</v>
      </c>
      <c r="U7" s="3">
        <v>0</v>
      </c>
      <c r="V7" s="68">
        <v>1</v>
      </c>
      <c r="W7" s="4"/>
      <c r="X7" s="3">
        <v>0</v>
      </c>
      <c r="Y7" s="68">
        <v>1</v>
      </c>
      <c r="AA7" s="8" t="s">
        <v>541</v>
      </c>
      <c r="AB7" s="63">
        <f>S143/115</f>
        <v>0.66956521739130437</v>
      </c>
      <c r="AC7" s="63">
        <f>R143/115</f>
        <v>9.5652173913043481E-2</v>
      </c>
      <c r="AD7" s="63">
        <f>Q143/115</f>
        <v>0.33043478260869563</v>
      </c>
      <c r="AG7" s="8" t="s">
        <v>540</v>
      </c>
      <c r="AH7" s="63">
        <v>0</v>
      </c>
      <c r="AI7" s="63">
        <v>0</v>
      </c>
      <c r="AJ7" s="63">
        <f>8/70</f>
        <v>0.11428571428571428</v>
      </c>
      <c r="AK7" s="63">
        <v>0</v>
      </c>
      <c r="AM7" s="8" t="s">
        <v>541</v>
      </c>
      <c r="AN7" s="63">
        <f>3/27</f>
        <v>0.1111111111111111</v>
      </c>
      <c r="AO7" s="63">
        <f>1/4</f>
        <v>0.25</v>
      </c>
      <c r="AP7" s="63">
        <f>30/70</f>
        <v>0.42857142857142855</v>
      </c>
      <c r="AQ7" s="63">
        <f>4/14</f>
        <v>0.2857142857142857</v>
      </c>
      <c r="AS7" s="8" t="s">
        <v>538</v>
      </c>
      <c r="AT7" s="63">
        <f>32/32</f>
        <v>1</v>
      </c>
      <c r="AU7" s="63">
        <f>3/3</f>
        <v>1</v>
      </c>
      <c r="AV7" s="63">
        <f>54/74</f>
        <v>0.72972972972972971</v>
      </c>
      <c r="AW7" s="63">
        <f>11/13</f>
        <v>0.84615384615384615</v>
      </c>
    </row>
    <row r="8" spans="1:49" x14ac:dyDescent="0.25">
      <c r="A8" s="2" t="s">
        <v>236</v>
      </c>
      <c r="B8" s="2">
        <v>1</v>
      </c>
      <c r="C8" s="2">
        <v>0</v>
      </c>
      <c r="D8" s="68">
        <v>0</v>
      </c>
      <c r="E8" s="2">
        <v>1</v>
      </c>
      <c r="F8" s="2">
        <v>0</v>
      </c>
      <c r="G8" s="68">
        <v>0</v>
      </c>
      <c r="H8" s="2">
        <v>1</v>
      </c>
      <c r="I8" s="2">
        <v>1</v>
      </c>
      <c r="J8" s="68">
        <v>0</v>
      </c>
      <c r="K8" s="2">
        <v>0</v>
      </c>
      <c r="L8" s="2">
        <v>0</v>
      </c>
      <c r="M8" s="68">
        <v>1</v>
      </c>
      <c r="N8" s="2">
        <v>0</v>
      </c>
      <c r="O8" s="2">
        <v>0</v>
      </c>
      <c r="P8" s="68">
        <v>1</v>
      </c>
      <c r="Q8" s="2">
        <v>0</v>
      </c>
      <c r="R8" s="2">
        <v>0</v>
      </c>
      <c r="S8" s="68">
        <v>1</v>
      </c>
      <c r="T8" s="2">
        <v>1</v>
      </c>
      <c r="U8" s="2">
        <v>1</v>
      </c>
      <c r="V8" s="68">
        <v>0</v>
      </c>
      <c r="W8" s="4"/>
      <c r="X8" s="2">
        <v>0</v>
      </c>
      <c r="Y8" s="68">
        <v>1</v>
      </c>
      <c r="AA8" s="8" t="s">
        <v>542</v>
      </c>
      <c r="AB8" s="63">
        <f>V143/123</f>
        <v>0.25203252032520324</v>
      </c>
      <c r="AC8" s="63">
        <f>U143/123</f>
        <v>0.56097560975609762</v>
      </c>
      <c r="AD8" s="63">
        <f>T143/123</f>
        <v>0.67479674796747968</v>
      </c>
      <c r="AG8" s="8" t="s">
        <v>541</v>
      </c>
      <c r="AH8" s="63">
        <f>2/27</f>
        <v>7.407407407407407E-2</v>
      </c>
      <c r="AI8" s="63">
        <v>0</v>
      </c>
      <c r="AJ8" s="63">
        <f>9/70</f>
        <v>0.12857142857142856</v>
      </c>
      <c r="AK8" s="63">
        <v>0</v>
      </c>
      <c r="AM8" s="8" t="s">
        <v>542</v>
      </c>
      <c r="AN8" s="63">
        <f>29/31</f>
        <v>0.93548387096774188</v>
      </c>
      <c r="AO8" s="63">
        <f>2/3</f>
        <v>0.66666666666666663</v>
      </c>
      <c r="AP8" s="63">
        <f>45/75</f>
        <v>0.6</v>
      </c>
      <c r="AQ8" s="63">
        <f>7/14</f>
        <v>0.5</v>
      </c>
      <c r="AS8" s="8" t="s">
        <v>537</v>
      </c>
      <c r="AT8" s="63">
        <f>35/36</f>
        <v>0.97222222222222221</v>
      </c>
      <c r="AU8" s="63">
        <f>35/35</f>
        <v>1</v>
      </c>
      <c r="AV8" s="63">
        <f>73/80</f>
        <v>0.91249999999999998</v>
      </c>
      <c r="AW8" s="63">
        <f>5/5</f>
        <v>1</v>
      </c>
    </row>
    <row r="9" spans="1:49" x14ac:dyDescent="0.25">
      <c r="A9" s="3" t="s">
        <v>236</v>
      </c>
      <c r="B9" s="3">
        <v>1</v>
      </c>
      <c r="C9" s="3">
        <v>0</v>
      </c>
      <c r="D9" s="68">
        <v>0</v>
      </c>
      <c r="E9" s="3">
        <v>1</v>
      </c>
      <c r="F9" s="3">
        <v>1</v>
      </c>
      <c r="G9" s="68">
        <v>0</v>
      </c>
      <c r="H9" s="3">
        <v>1</v>
      </c>
      <c r="I9" s="3">
        <v>0</v>
      </c>
      <c r="J9" s="68">
        <v>0</v>
      </c>
      <c r="K9" s="3">
        <v>0</v>
      </c>
      <c r="L9" s="3">
        <v>0</v>
      </c>
      <c r="M9" s="68">
        <v>1</v>
      </c>
      <c r="N9" s="3">
        <v>0</v>
      </c>
      <c r="O9" s="3">
        <v>0</v>
      </c>
      <c r="P9" s="68">
        <v>1</v>
      </c>
      <c r="Q9" s="3">
        <v>0</v>
      </c>
      <c r="R9" s="3">
        <v>0</v>
      </c>
      <c r="S9" s="68">
        <v>1</v>
      </c>
      <c r="T9" s="3">
        <v>1</v>
      </c>
      <c r="U9" s="3">
        <v>0</v>
      </c>
      <c r="V9" s="68">
        <v>0</v>
      </c>
      <c r="W9" s="3"/>
      <c r="X9" s="3">
        <v>0</v>
      </c>
      <c r="Y9" s="68">
        <v>1</v>
      </c>
      <c r="AA9" s="8" t="s">
        <v>539</v>
      </c>
      <c r="AB9" s="63">
        <f>M143/126</f>
        <v>0.30158730158730157</v>
      </c>
      <c r="AC9" s="63">
        <f>L143/126</f>
        <v>0.31746031746031744</v>
      </c>
      <c r="AD9" s="63">
        <f>K143/126</f>
        <v>0.67460317460317465</v>
      </c>
      <c r="AG9" s="8" t="s">
        <v>542</v>
      </c>
      <c r="AH9" s="63">
        <f>22/31</f>
        <v>0.70967741935483875</v>
      </c>
      <c r="AI9" s="63">
        <f>2/3</f>
        <v>0.66666666666666663</v>
      </c>
      <c r="AJ9" s="63">
        <f>34/75</f>
        <v>0.45333333333333331</v>
      </c>
      <c r="AK9" s="63">
        <f>11/14</f>
        <v>0.7857142857142857</v>
      </c>
      <c r="AM9" s="8" t="s">
        <v>539</v>
      </c>
      <c r="AN9" s="63">
        <f>10/28</f>
        <v>0.35714285714285715</v>
      </c>
      <c r="AO9" s="63">
        <f>2/4</f>
        <v>0.5</v>
      </c>
      <c r="AP9" s="63">
        <f>63/80</f>
        <v>0.78749999999999998</v>
      </c>
      <c r="AQ9" s="63">
        <f>10/14</f>
        <v>0.7142857142857143</v>
      </c>
      <c r="AS9" s="8" t="s">
        <v>539</v>
      </c>
      <c r="AT9" s="63">
        <f>10/28</f>
        <v>0.35714285714285715</v>
      </c>
      <c r="AU9" s="63">
        <f>2/4</f>
        <v>0.5</v>
      </c>
      <c r="AV9" s="63">
        <f>63/80</f>
        <v>0.78749999999999998</v>
      </c>
      <c r="AW9" s="63">
        <f>10/14</f>
        <v>0.7142857142857143</v>
      </c>
    </row>
    <row r="10" spans="1:49" x14ac:dyDescent="0.25">
      <c r="A10" s="2" t="s">
        <v>236</v>
      </c>
      <c r="B10" s="2">
        <v>1</v>
      </c>
      <c r="C10" s="2">
        <v>0</v>
      </c>
      <c r="D10" s="68">
        <v>0</v>
      </c>
      <c r="E10" s="2">
        <v>1</v>
      </c>
      <c r="F10" s="2">
        <v>1</v>
      </c>
      <c r="G10" s="68">
        <v>0</v>
      </c>
      <c r="H10" s="2">
        <v>1</v>
      </c>
      <c r="I10" s="2">
        <v>1</v>
      </c>
      <c r="J10" s="68">
        <v>0</v>
      </c>
      <c r="K10" s="2">
        <v>0</v>
      </c>
      <c r="L10" s="2">
        <v>0</v>
      </c>
      <c r="M10" s="68">
        <v>1</v>
      </c>
      <c r="N10" s="2">
        <v>0</v>
      </c>
      <c r="O10" s="2">
        <v>0</v>
      </c>
      <c r="P10" s="68">
        <v>1</v>
      </c>
      <c r="Q10" s="2">
        <v>0</v>
      </c>
      <c r="R10" s="2">
        <v>0</v>
      </c>
      <c r="S10" s="68">
        <v>1</v>
      </c>
      <c r="T10" s="2">
        <v>1</v>
      </c>
      <c r="U10" s="2">
        <v>0</v>
      </c>
      <c r="V10" s="68">
        <v>0</v>
      </c>
      <c r="W10" s="4"/>
      <c r="X10" s="2">
        <v>0</v>
      </c>
      <c r="Y10" s="68">
        <v>1</v>
      </c>
      <c r="AA10" s="8" t="s">
        <v>538</v>
      </c>
      <c r="AB10" s="63">
        <f>J143/122</f>
        <v>0.1721311475409836</v>
      </c>
      <c r="AC10" s="63">
        <f>I143/122</f>
        <v>0.5</v>
      </c>
      <c r="AD10" s="63">
        <f>H143/122</f>
        <v>0.81967213114754101</v>
      </c>
      <c r="AG10" s="8" t="s">
        <v>539</v>
      </c>
      <c r="AH10" s="63">
        <f>4/28</f>
        <v>0.14285714285714285</v>
      </c>
      <c r="AI10" s="63">
        <f>2/4</f>
        <v>0.5</v>
      </c>
      <c r="AJ10" s="63">
        <f>15/80</f>
        <v>0.1875</v>
      </c>
      <c r="AK10" s="63">
        <f>3/14</f>
        <v>0.21428571428571427</v>
      </c>
      <c r="AM10" s="8" t="s">
        <v>538</v>
      </c>
      <c r="AN10" s="63">
        <f>32/32</f>
        <v>1</v>
      </c>
      <c r="AO10" s="63">
        <f>3/3</f>
        <v>1</v>
      </c>
      <c r="AP10" s="63">
        <f>54/74</f>
        <v>0.72972972972972971</v>
      </c>
      <c r="AQ10" s="63">
        <f>11/13</f>
        <v>0.84615384615384615</v>
      </c>
      <c r="AS10" s="8" t="s">
        <v>542</v>
      </c>
      <c r="AT10" s="63">
        <f>29/31</f>
        <v>0.93548387096774188</v>
      </c>
      <c r="AU10" s="63">
        <f>2/3</f>
        <v>0.66666666666666663</v>
      </c>
      <c r="AV10" s="63">
        <f>45/75</f>
        <v>0.6</v>
      </c>
      <c r="AW10" s="63">
        <f>7/14</f>
        <v>0.5</v>
      </c>
    </row>
    <row r="11" spans="1:49" x14ac:dyDescent="0.25">
      <c r="A11" s="2" t="s">
        <v>236</v>
      </c>
      <c r="B11" s="2">
        <v>1</v>
      </c>
      <c r="C11" s="2">
        <v>0</v>
      </c>
      <c r="D11" s="68">
        <v>0</v>
      </c>
      <c r="E11" s="2">
        <v>1</v>
      </c>
      <c r="F11" s="2">
        <v>1</v>
      </c>
      <c r="G11" s="68">
        <v>0</v>
      </c>
      <c r="H11" s="2">
        <v>1</v>
      </c>
      <c r="I11" s="2">
        <v>1</v>
      </c>
      <c r="J11" s="68">
        <v>0</v>
      </c>
      <c r="K11" s="2">
        <v>0</v>
      </c>
      <c r="L11" s="2">
        <v>0</v>
      </c>
      <c r="M11" s="68">
        <v>1</v>
      </c>
      <c r="N11" s="2">
        <v>0</v>
      </c>
      <c r="O11" s="2">
        <v>0</v>
      </c>
      <c r="P11" s="68">
        <v>1</v>
      </c>
      <c r="Q11" s="2">
        <v>0</v>
      </c>
      <c r="R11" s="2">
        <v>0</v>
      </c>
      <c r="S11" s="68">
        <v>1</v>
      </c>
      <c r="T11" s="2">
        <v>1</v>
      </c>
      <c r="U11" s="2">
        <v>1</v>
      </c>
      <c r="V11" s="68">
        <v>0</v>
      </c>
      <c r="W11" s="4"/>
      <c r="X11" s="2">
        <v>0</v>
      </c>
      <c r="Y11" s="68">
        <v>1</v>
      </c>
      <c r="AA11" s="8" t="s">
        <v>536</v>
      </c>
      <c r="AB11" s="63">
        <f>D143/132</f>
        <v>7.575757575757576E-2</v>
      </c>
      <c r="AC11" s="63">
        <f>C143/132</f>
        <v>0.4621212121212121</v>
      </c>
      <c r="AD11" s="63">
        <f>B143/132</f>
        <v>0.91666666666666663</v>
      </c>
      <c r="AG11" s="8" t="s">
        <v>538</v>
      </c>
      <c r="AH11" s="63">
        <f>27/33</f>
        <v>0.81818181818181823</v>
      </c>
      <c r="AI11" s="63">
        <f>3/3</f>
        <v>1</v>
      </c>
      <c r="AJ11" s="63">
        <f>21/74</f>
        <v>0.28378378378378377</v>
      </c>
      <c r="AK11" s="63">
        <f>10/13</f>
        <v>0.76923076923076927</v>
      </c>
      <c r="AM11" s="8" t="s">
        <v>536</v>
      </c>
      <c r="AN11" s="63">
        <f>35/35</f>
        <v>1</v>
      </c>
      <c r="AO11" s="63">
        <f>35/35</f>
        <v>1</v>
      </c>
      <c r="AP11" s="63">
        <f>67/78</f>
        <v>0.85897435897435892</v>
      </c>
      <c r="AQ11" s="63">
        <f>14/14</f>
        <v>1</v>
      </c>
      <c r="AS11" s="8" t="s">
        <v>541</v>
      </c>
      <c r="AT11" s="63">
        <f>3/27</f>
        <v>0.1111111111111111</v>
      </c>
      <c r="AU11" s="63">
        <f>1/4</f>
        <v>0.25</v>
      </c>
      <c r="AV11" s="63">
        <f>30/70</f>
        <v>0.42857142857142855</v>
      </c>
      <c r="AW11" s="63">
        <f>4/14</f>
        <v>0.2857142857142857</v>
      </c>
    </row>
    <row r="12" spans="1:49" x14ac:dyDescent="0.25">
      <c r="A12" s="2" t="s">
        <v>236</v>
      </c>
      <c r="B12" s="2">
        <v>1</v>
      </c>
      <c r="C12" s="2">
        <v>0</v>
      </c>
      <c r="D12" s="68">
        <v>0</v>
      </c>
      <c r="E12" s="2">
        <v>1</v>
      </c>
      <c r="F12" s="2">
        <v>1</v>
      </c>
      <c r="G12" s="68">
        <v>0</v>
      </c>
      <c r="H12" s="2">
        <v>1</v>
      </c>
      <c r="I12" s="2">
        <v>1</v>
      </c>
      <c r="J12" s="68">
        <v>0</v>
      </c>
      <c r="K12" s="2">
        <v>0</v>
      </c>
      <c r="L12" s="2">
        <v>0</v>
      </c>
      <c r="M12" s="68">
        <v>1</v>
      </c>
      <c r="N12" s="2">
        <v>0</v>
      </c>
      <c r="O12" s="2">
        <v>0</v>
      </c>
      <c r="P12" s="68">
        <v>1</v>
      </c>
      <c r="Q12" s="2">
        <v>0</v>
      </c>
      <c r="R12" s="2">
        <v>0</v>
      </c>
      <c r="S12" s="68">
        <v>1</v>
      </c>
      <c r="T12" s="2">
        <v>1</v>
      </c>
      <c r="U12" s="2">
        <v>1</v>
      </c>
      <c r="V12" s="68">
        <v>0</v>
      </c>
      <c r="W12" s="4"/>
      <c r="X12" s="2">
        <v>0</v>
      </c>
      <c r="Y12" s="68">
        <v>1</v>
      </c>
      <c r="AA12" s="8" t="s">
        <v>537</v>
      </c>
      <c r="AB12" s="63">
        <f>G143/135</f>
        <v>3.7037037037037035E-2</v>
      </c>
      <c r="AC12" s="63">
        <f>F143/135</f>
        <v>0.66666666666666663</v>
      </c>
      <c r="AD12" s="63">
        <f>E143/135</f>
        <v>0.93333333333333335</v>
      </c>
      <c r="AG12" s="8" t="s">
        <v>536</v>
      </c>
      <c r="AH12" s="63">
        <f>22/35</f>
        <v>0.62857142857142856</v>
      </c>
      <c r="AI12" s="63">
        <f>4/5</f>
        <v>0.8</v>
      </c>
      <c r="AJ12" s="63">
        <f>26/78</f>
        <v>0.33333333333333331</v>
      </c>
      <c r="AK12" s="63">
        <f>9/14</f>
        <v>0.6428571428571429</v>
      </c>
      <c r="AM12" s="8" t="s">
        <v>537</v>
      </c>
      <c r="AN12" s="63">
        <f>35/36</f>
        <v>0.97222222222222221</v>
      </c>
      <c r="AO12" s="63">
        <f>35/35</f>
        <v>1</v>
      </c>
      <c r="AP12" s="63">
        <f>73/80</f>
        <v>0.91249999999999998</v>
      </c>
      <c r="AQ12" s="63">
        <f>5/5</f>
        <v>1</v>
      </c>
      <c r="AS12" s="8" t="s">
        <v>540</v>
      </c>
      <c r="AT12" s="63">
        <f>1/27</f>
        <v>3.7037037037037035E-2</v>
      </c>
      <c r="AU12" s="63">
        <v>0</v>
      </c>
      <c r="AV12" s="63">
        <f>18/70</f>
        <v>0.25714285714285712</v>
      </c>
      <c r="AW12" s="63">
        <f>2/13</f>
        <v>0.15384615384615385</v>
      </c>
    </row>
    <row r="13" spans="1:49" x14ac:dyDescent="0.25">
      <c r="A13" s="2" t="s">
        <v>236</v>
      </c>
      <c r="B13" s="2">
        <v>1</v>
      </c>
      <c r="C13" s="2">
        <v>1</v>
      </c>
      <c r="D13" s="68">
        <v>0</v>
      </c>
      <c r="E13" s="2">
        <v>1</v>
      </c>
      <c r="F13" s="2">
        <v>1</v>
      </c>
      <c r="G13" s="68">
        <v>0</v>
      </c>
      <c r="H13" s="2">
        <v>1</v>
      </c>
      <c r="I13" s="2">
        <v>1</v>
      </c>
      <c r="J13" s="68">
        <v>0</v>
      </c>
      <c r="K13" s="2">
        <v>0</v>
      </c>
      <c r="L13" s="2">
        <v>0</v>
      </c>
      <c r="M13" s="68">
        <v>1</v>
      </c>
      <c r="N13" s="2">
        <v>0</v>
      </c>
      <c r="O13" s="2">
        <v>0</v>
      </c>
      <c r="P13" s="68">
        <v>1</v>
      </c>
      <c r="Q13" s="2">
        <v>0</v>
      </c>
      <c r="R13" s="2">
        <v>0</v>
      </c>
      <c r="S13" s="68">
        <v>1</v>
      </c>
      <c r="T13" s="2">
        <v>1</v>
      </c>
      <c r="U13" s="2">
        <v>1</v>
      </c>
      <c r="V13" s="68">
        <v>0</v>
      </c>
      <c r="W13" s="4"/>
      <c r="X13" s="2">
        <v>0</v>
      </c>
      <c r="Y13" s="68">
        <v>1</v>
      </c>
      <c r="AG13" s="8" t="s">
        <v>537</v>
      </c>
      <c r="AH13" s="63">
        <f>30/36</f>
        <v>0.83333333333333337</v>
      </c>
      <c r="AI13" s="63">
        <f>4/5</f>
        <v>0.8</v>
      </c>
      <c r="AJ13" s="63">
        <f>44/80</f>
        <v>0.55000000000000004</v>
      </c>
      <c r="AK13" s="63">
        <f>12/14</f>
        <v>0.8571428571428571</v>
      </c>
    </row>
    <row r="14" spans="1:49" x14ac:dyDescent="0.25">
      <c r="A14" s="2" t="s">
        <v>236</v>
      </c>
      <c r="B14" s="2">
        <v>1</v>
      </c>
      <c r="C14" s="2">
        <v>0</v>
      </c>
      <c r="D14" s="68">
        <v>0</v>
      </c>
      <c r="E14" s="2">
        <v>1</v>
      </c>
      <c r="F14" s="2">
        <v>0</v>
      </c>
      <c r="G14" s="68">
        <v>0</v>
      </c>
      <c r="H14" s="2">
        <v>1</v>
      </c>
      <c r="I14" s="2">
        <v>0</v>
      </c>
      <c r="J14" s="68">
        <v>0</v>
      </c>
      <c r="K14" s="2">
        <v>1</v>
      </c>
      <c r="L14" s="2">
        <v>0</v>
      </c>
      <c r="M14" s="68">
        <v>0</v>
      </c>
      <c r="N14" s="2">
        <v>0</v>
      </c>
      <c r="O14" s="2">
        <v>0</v>
      </c>
      <c r="P14" s="68">
        <v>1</v>
      </c>
      <c r="Q14" s="2">
        <v>0</v>
      </c>
      <c r="R14" s="2">
        <v>0</v>
      </c>
      <c r="S14" s="68">
        <v>1</v>
      </c>
      <c r="T14" s="2">
        <v>1</v>
      </c>
      <c r="U14" s="2">
        <v>0</v>
      </c>
      <c r="V14" s="68">
        <v>0</v>
      </c>
      <c r="W14" s="4"/>
      <c r="X14" s="2">
        <v>0</v>
      </c>
      <c r="Y14" s="68">
        <v>1</v>
      </c>
    </row>
    <row r="15" spans="1:49" x14ac:dyDescent="0.25">
      <c r="A15" s="2" t="s">
        <v>236</v>
      </c>
      <c r="B15" s="2">
        <v>1</v>
      </c>
      <c r="C15" s="2">
        <v>1</v>
      </c>
      <c r="D15" s="68">
        <v>0</v>
      </c>
      <c r="E15" s="2">
        <v>1</v>
      </c>
      <c r="F15" s="2">
        <v>1</v>
      </c>
      <c r="G15" s="68">
        <v>0</v>
      </c>
      <c r="H15" s="2">
        <v>1</v>
      </c>
      <c r="I15" s="2">
        <v>1</v>
      </c>
      <c r="J15" s="68">
        <v>0</v>
      </c>
      <c r="K15" s="2">
        <v>1</v>
      </c>
      <c r="L15" s="2">
        <v>0</v>
      </c>
      <c r="M15" s="68">
        <v>0</v>
      </c>
      <c r="N15" s="2">
        <v>0</v>
      </c>
      <c r="O15" s="2">
        <v>0</v>
      </c>
      <c r="P15" s="68">
        <v>1</v>
      </c>
      <c r="Q15" s="2">
        <v>0</v>
      </c>
      <c r="R15" s="2">
        <v>0</v>
      </c>
      <c r="S15" s="68">
        <v>1</v>
      </c>
      <c r="T15" s="2">
        <v>1</v>
      </c>
      <c r="U15" s="2">
        <v>1</v>
      </c>
      <c r="V15" s="68">
        <v>0</v>
      </c>
      <c r="W15" s="4"/>
      <c r="X15" s="2">
        <v>0</v>
      </c>
      <c r="Y15" s="68">
        <v>1</v>
      </c>
      <c r="AG15" s="19"/>
      <c r="AH15" s="19"/>
      <c r="AI15" s="19"/>
      <c r="AJ15" s="19"/>
      <c r="AK15" s="19"/>
    </row>
    <row r="16" spans="1:49" x14ac:dyDescent="0.25">
      <c r="A16" s="2" t="s">
        <v>236</v>
      </c>
      <c r="B16" s="2">
        <v>1</v>
      </c>
      <c r="C16" s="2">
        <v>1</v>
      </c>
      <c r="D16" s="68">
        <v>0</v>
      </c>
      <c r="E16" s="2">
        <v>1</v>
      </c>
      <c r="F16" s="2">
        <v>1</v>
      </c>
      <c r="G16" s="68">
        <v>0</v>
      </c>
      <c r="H16" s="2">
        <v>1</v>
      </c>
      <c r="I16" s="2">
        <v>0</v>
      </c>
      <c r="J16" s="68">
        <v>0</v>
      </c>
      <c r="K16" s="2">
        <v>1</v>
      </c>
      <c r="L16" s="2">
        <v>1</v>
      </c>
      <c r="M16" s="68">
        <v>0</v>
      </c>
      <c r="N16" s="2">
        <v>1</v>
      </c>
      <c r="O16" s="2">
        <v>0</v>
      </c>
      <c r="P16" s="68">
        <v>0</v>
      </c>
      <c r="Q16" s="2">
        <v>0</v>
      </c>
      <c r="R16" s="2">
        <v>0</v>
      </c>
      <c r="S16" s="68">
        <v>1</v>
      </c>
      <c r="T16" s="2">
        <v>1</v>
      </c>
      <c r="U16" s="2">
        <v>0</v>
      </c>
      <c r="V16" s="68">
        <v>0</v>
      </c>
      <c r="W16" s="4"/>
      <c r="X16" s="2">
        <v>0</v>
      </c>
      <c r="Y16" s="68">
        <v>1</v>
      </c>
    </row>
    <row r="17" spans="1:25" x14ac:dyDescent="0.25">
      <c r="A17" s="2" t="s">
        <v>236</v>
      </c>
      <c r="B17" s="2">
        <v>1</v>
      </c>
      <c r="C17" s="2">
        <v>1</v>
      </c>
      <c r="D17" s="68">
        <v>0</v>
      </c>
      <c r="E17" s="2">
        <v>1</v>
      </c>
      <c r="F17" s="2">
        <v>1</v>
      </c>
      <c r="G17" s="68">
        <v>0</v>
      </c>
      <c r="H17" s="2">
        <v>1</v>
      </c>
      <c r="I17" s="2">
        <v>1</v>
      </c>
      <c r="J17" s="68">
        <v>0</v>
      </c>
      <c r="K17" s="2">
        <v>1</v>
      </c>
      <c r="L17" s="2">
        <v>0</v>
      </c>
      <c r="M17" s="68">
        <v>0</v>
      </c>
      <c r="N17" s="2"/>
      <c r="O17" s="2"/>
      <c r="P17" s="68"/>
      <c r="Q17" s="2"/>
      <c r="R17" s="2"/>
      <c r="S17" s="68"/>
      <c r="T17" s="2">
        <v>1</v>
      </c>
      <c r="U17" s="2">
        <v>1</v>
      </c>
      <c r="V17" s="68">
        <v>0</v>
      </c>
      <c r="W17" s="4"/>
      <c r="X17" s="2">
        <v>0</v>
      </c>
      <c r="Y17" s="68">
        <v>1</v>
      </c>
    </row>
    <row r="18" spans="1:25" x14ac:dyDescent="0.25">
      <c r="A18" s="2" t="s">
        <v>236</v>
      </c>
      <c r="B18" s="2">
        <v>1</v>
      </c>
      <c r="C18" s="2">
        <v>0</v>
      </c>
      <c r="D18" s="68">
        <v>0</v>
      </c>
      <c r="E18" s="2">
        <v>1</v>
      </c>
      <c r="F18" s="2">
        <v>0</v>
      </c>
      <c r="G18" s="68">
        <v>0</v>
      </c>
      <c r="H18" s="2">
        <v>1</v>
      </c>
      <c r="I18" s="2">
        <v>0</v>
      </c>
      <c r="J18" s="68">
        <v>0</v>
      </c>
      <c r="K18" s="2">
        <v>0</v>
      </c>
      <c r="L18" s="2">
        <v>0</v>
      </c>
      <c r="M18" s="68">
        <v>1</v>
      </c>
      <c r="N18" s="2">
        <v>0</v>
      </c>
      <c r="O18" s="2">
        <v>0</v>
      </c>
      <c r="P18" s="68">
        <v>1</v>
      </c>
      <c r="Q18" s="2">
        <v>0</v>
      </c>
      <c r="R18" s="2">
        <v>0</v>
      </c>
      <c r="S18" s="68">
        <v>1</v>
      </c>
      <c r="T18" s="2">
        <v>1</v>
      </c>
      <c r="U18" s="2">
        <v>1</v>
      </c>
      <c r="V18" s="68">
        <v>0</v>
      </c>
      <c r="W18" s="4"/>
      <c r="X18" s="2">
        <v>1</v>
      </c>
      <c r="Y18" s="68">
        <v>0</v>
      </c>
    </row>
    <row r="19" spans="1:25" x14ac:dyDescent="0.25">
      <c r="A19" s="2" t="s">
        <v>236</v>
      </c>
      <c r="B19" s="2">
        <v>1</v>
      </c>
      <c r="C19" s="2">
        <v>1</v>
      </c>
      <c r="D19" s="68">
        <v>0</v>
      </c>
      <c r="E19" s="2">
        <v>1</v>
      </c>
      <c r="F19" s="2">
        <v>1</v>
      </c>
      <c r="G19" s="68">
        <v>0</v>
      </c>
      <c r="H19" s="2">
        <v>1</v>
      </c>
      <c r="I19" s="2">
        <v>1</v>
      </c>
      <c r="J19" s="68">
        <v>0</v>
      </c>
      <c r="K19" s="2">
        <v>0</v>
      </c>
      <c r="L19" s="2">
        <v>0</v>
      </c>
      <c r="M19" s="68">
        <v>1</v>
      </c>
      <c r="N19" s="2">
        <v>0</v>
      </c>
      <c r="O19" s="2">
        <v>0</v>
      </c>
      <c r="P19" s="68">
        <v>1</v>
      </c>
      <c r="Q19" s="2">
        <v>0</v>
      </c>
      <c r="R19" s="2">
        <v>0</v>
      </c>
      <c r="S19" s="68">
        <v>1</v>
      </c>
      <c r="T19" s="2">
        <v>1</v>
      </c>
      <c r="U19" s="2">
        <v>1</v>
      </c>
      <c r="V19" s="68">
        <v>0</v>
      </c>
      <c r="W19" s="4"/>
      <c r="X19" s="2">
        <v>1</v>
      </c>
      <c r="Y19" s="68">
        <v>0</v>
      </c>
    </row>
    <row r="20" spans="1:25" x14ac:dyDescent="0.25">
      <c r="A20" s="2" t="s">
        <v>236</v>
      </c>
      <c r="B20" s="2">
        <v>1</v>
      </c>
      <c r="C20" s="2">
        <v>1</v>
      </c>
      <c r="D20" s="68">
        <v>0</v>
      </c>
      <c r="E20" s="2">
        <v>1</v>
      </c>
      <c r="F20" s="2">
        <v>1</v>
      </c>
      <c r="G20" s="68">
        <v>0</v>
      </c>
      <c r="H20" s="2">
        <v>1</v>
      </c>
      <c r="I20" s="2">
        <v>1</v>
      </c>
      <c r="J20" s="68">
        <v>0</v>
      </c>
      <c r="K20" s="2">
        <v>0</v>
      </c>
      <c r="L20" s="2">
        <v>0</v>
      </c>
      <c r="M20" s="68">
        <v>1</v>
      </c>
      <c r="N20" s="2">
        <v>0</v>
      </c>
      <c r="O20" s="2">
        <v>0</v>
      </c>
      <c r="P20" s="68">
        <v>1</v>
      </c>
      <c r="Q20" s="2">
        <v>0</v>
      </c>
      <c r="R20" s="2">
        <v>0</v>
      </c>
      <c r="S20" s="68">
        <v>1</v>
      </c>
      <c r="T20" s="2">
        <v>1</v>
      </c>
      <c r="U20" s="2">
        <v>1</v>
      </c>
      <c r="V20" s="68">
        <v>0</v>
      </c>
      <c r="W20" s="4"/>
      <c r="X20" s="2">
        <v>1</v>
      </c>
      <c r="Y20" s="68">
        <v>0</v>
      </c>
    </row>
    <row r="21" spans="1:25" x14ac:dyDescent="0.25">
      <c r="A21" s="2" t="s">
        <v>236</v>
      </c>
      <c r="B21" s="3">
        <v>1</v>
      </c>
      <c r="C21" s="3">
        <v>1</v>
      </c>
      <c r="D21" s="68">
        <v>0</v>
      </c>
      <c r="E21" s="3">
        <v>1</v>
      </c>
      <c r="F21" s="3">
        <v>1</v>
      </c>
      <c r="G21" s="68">
        <v>0</v>
      </c>
      <c r="H21" s="3">
        <v>1</v>
      </c>
      <c r="I21" s="3">
        <v>1</v>
      </c>
      <c r="J21" s="68">
        <v>0</v>
      </c>
      <c r="K21" s="3">
        <v>0</v>
      </c>
      <c r="L21" s="3">
        <v>0</v>
      </c>
      <c r="M21" s="68">
        <v>1</v>
      </c>
      <c r="N21" s="3">
        <v>0</v>
      </c>
      <c r="O21" s="3">
        <v>0</v>
      </c>
      <c r="P21" s="68">
        <v>1</v>
      </c>
      <c r="Q21" s="3">
        <v>0</v>
      </c>
      <c r="R21" s="3">
        <v>0</v>
      </c>
      <c r="S21" s="68">
        <v>1</v>
      </c>
      <c r="T21" s="3">
        <v>1</v>
      </c>
      <c r="U21" s="3">
        <v>1</v>
      </c>
      <c r="V21" s="68">
        <v>0</v>
      </c>
      <c r="W21" s="4"/>
      <c r="X21" s="3">
        <v>1</v>
      </c>
      <c r="Y21" s="68">
        <v>0</v>
      </c>
    </row>
    <row r="22" spans="1:25" x14ac:dyDescent="0.25">
      <c r="A22" s="2" t="s">
        <v>236</v>
      </c>
      <c r="B22" s="2">
        <v>1</v>
      </c>
      <c r="C22" s="2">
        <v>1</v>
      </c>
      <c r="D22" s="68">
        <v>0</v>
      </c>
      <c r="E22" s="2">
        <v>1</v>
      </c>
      <c r="F22" s="2">
        <v>1</v>
      </c>
      <c r="G22" s="68">
        <v>0</v>
      </c>
      <c r="H22" s="2">
        <v>1</v>
      </c>
      <c r="I22" s="2">
        <v>1</v>
      </c>
      <c r="J22" s="68">
        <v>0</v>
      </c>
      <c r="K22" s="2">
        <v>0</v>
      </c>
      <c r="L22" s="2">
        <v>0</v>
      </c>
      <c r="M22" s="68">
        <v>1</v>
      </c>
      <c r="N22" s="2">
        <v>0</v>
      </c>
      <c r="O22" s="2">
        <v>0</v>
      </c>
      <c r="P22" s="68">
        <v>1</v>
      </c>
      <c r="Q22" s="2">
        <v>0</v>
      </c>
      <c r="R22" s="2">
        <v>0</v>
      </c>
      <c r="S22" s="68">
        <v>1</v>
      </c>
      <c r="T22" s="2">
        <v>1</v>
      </c>
      <c r="U22" s="2">
        <v>1</v>
      </c>
      <c r="V22" s="68">
        <v>0</v>
      </c>
      <c r="W22" s="4"/>
      <c r="X22" s="2">
        <v>1</v>
      </c>
      <c r="Y22" s="68">
        <v>0</v>
      </c>
    </row>
    <row r="23" spans="1:25" x14ac:dyDescent="0.25">
      <c r="A23" s="2" t="s">
        <v>236</v>
      </c>
      <c r="B23" s="2">
        <v>1</v>
      </c>
      <c r="C23" s="2">
        <v>1</v>
      </c>
      <c r="D23" s="68">
        <v>0</v>
      </c>
      <c r="E23" s="2">
        <v>1</v>
      </c>
      <c r="F23" s="2">
        <v>1</v>
      </c>
      <c r="G23" s="68">
        <v>0</v>
      </c>
      <c r="H23" s="2">
        <v>1</v>
      </c>
      <c r="I23" s="2">
        <v>1</v>
      </c>
      <c r="J23" s="68">
        <v>0</v>
      </c>
      <c r="K23" s="2">
        <v>0</v>
      </c>
      <c r="L23" s="2">
        <v>0</v>
      </c>
      <c r="M23" s="68">
        <v>1</v>
      </c>
      <c r="N23" s="2">
        <v>0</v>
      </c>
      <c r="O23" s="2">
        <v>0</v>
      </c>
      <c r="P23" s="68">
        <v>1</v>
      </c>
      <c r="Q23" s="2">
        <v>0</v>
      </c>
      <c r="R23" s="2">
        <v>0</v>
      </c>
      <c r="S23" s="68">
        <v>1</v>
      </c>
      <c r="T23" s="2">
        <v>1</v>
      </c>
      <c r="U23" s="2">
        <v>0</v>
      </c>
      <c r="V23" s="68">
        <v>0</v>
      </c>
      <c r="W23" s="4"/>
      <c r="X23" s="2">
        <v>1</v>
      </c>
      <c r="Y23" s="68">
        <v>0</v>
      </c>
    </row>
    <row r="24" spans="1:25" x14ac:dyDescent="0.25">
      <c r="A24" s="2" t="s">
        <v>236</v>
      </c>
      <c r="B24" s="2">
        <v>1</v>
      </c>
      <c r="C24" s="2">
        <v>1</v>
      </c>
      <c r="D24" s="68">
        <v>0</v>
      </c>
      <c r="E24" s="2">
        <v>1</v>
      </c>
      <c r="F24" s="2">
        <v>1</v>
      </c>
      <c r="G24" s="68">
        <v>0</v>
      </c>
      <c r="H24" s="2">
        <v>1</v>
      </c>
      <c r="I24" s="2">
        <v>1</v>
      </c>
      <c r="J24" s="68">
        <v>0</v>
      </c>
      <c r="K24" s="2">
        <v>0</v>
      </c>
      <c r="L24" s="2">
        <v>0</v>
      </c>
      <c r="M24" s="68">
        <v>1</v>
      </c>
      <c r="N24" s="2">
        <v>0</v>
      </c>
      <c r="O24" s="2">
        <v>0</v>
      </c>
      <c r="P24" s="68">
        <v>1</v>
      </c>
      <c r="Q24" s="2">
        <v>0</v>
      </c>
      <c r="R24" s="2">
        <v>0</v>
      </c>
      <c r="S24" s="68">
        <v>1</v>
      </c>
      <c r="T24" s="2">
        <v>1</v>
      </c>
      <c r="U24" s="2">
        <v>1</v>
      </c>
      <c r="V24" s="68">
        <v>0</v>
      </c>
      <c r="W24" s="4"/>
      <c r="X24" s="2">
        <v>1</v>
      </c>
      <c r="Y24" s="68">
        <v>0</v>
      </c>
    </row>
    <row r="25" spans="1:25" x14ac:dyDescent="0.25">
      <c r="A25" s="2" t="s">
        <v>236</v>
      </c>
      <c r="B25" s="2">
        <v>1</v>
      </c>
      <c r="C25" s="2">
        <v>1</v>
      </c>
      <c r="D25" s="68">
        <v>0</v>
      </c>
      <c r="E25" s="2">
        <v>1</v>
      </c>
      <c r="F25" s="2">
        <v>1</v>
      </c>
      <c r="G25" s="68">
        <v>0</v>
      </c>
      <c r="H25" s="2">
        <v>1</v>
      </c>
      <c r="I25" s="2">
        <v>1</v>
      </c>
      <c r="J25" s="68">
        <v>0</v>
      </c>
      <c r="K25" s="2">
        <v>0</v>
      </c>
      <c r="L25" s="2">
        <v>0</v>
      </c>
      <c r="M25" s="68">
        <v>1</v>
      </c>
      <c r="N25" s="2">
        <v>0</v>
      </c>
      <c r="O25" s="2">
        <v>0</v>
      </c>
      <c r="P25" s="68">
        <v>1</v>
      </c>
      <c r="Q25" s="2">
        <v>0</v>
      </c>
      <c r="R25" s="2">
        <v>0</v>
      </c>
      <c r="S25" s="68">
        <v>1</v>
      </c>
      <c r="T25" s="2">
        <v>1</v>
      </c>
      <c r="U25" s="2">
        <v>1</v>
      </c>
      <c r="V25" s="68">
        <v>0</v>
      </c>
      <c r="W25" s="4"/>
      <c r="X25" s="2">
        <v>1</v>
      </c>
      <c r="Y25" s="68">
        <v>0</v>
      </c>
    </row>
    <row r="26" spans="1:25" x14ac:dyDescent="0.25">
      <c r="A26" s="2" t="s">
        <v>236</v>
      </c>
      <c r="B26" s="2">
        <v>1</v>
      </c>
      <c r="C26" s="2">
        <v>1</v>
      </c>
      <c r="D26" s="68">
        <v>0</v>
      </c>
      <c r="E26" s="2">
        <v>1</v>
      </c>
      <c r="F26" s="2">
        <v>1</v>
      </c>
      <c r="G26" s="68">
        <v>0</v>
      </c>
      <c r="H26" s="2">
        <v>1</v>
      </c>
      <c r="I26" s="2">
        <v>1</v>
      </c>
      <c r="J26" s="68">
        <v>0</v>
      </c>
      <c r="K26" s="2">
        <v>0</v>
      </c>
      <c r="L26" s="2">
        <v>0</v>
      </c>
      <c r="M26" s="68">
        <v>1</v>
      </c>
      <c r="N26" s="2">
        <v>0</v>
      </c>
      <c r="O26" s="2">
        <v>0</v>
      </c>
      <c r="P26" s="68">
        <v>1</v>
      </c>
      <c r="Q26" s="2">
        <v>0</v>
      </c>
      <c r="R26" s="2">
        <v>0</v>
      </c>
      <c r="S26" s="68">
        <v>1</v>
      </c>
      <c r="T26" s="2">
        <v>1</v>
      </c>
      <c r="U26" s="2">
        <v>0</v>
      </c>
      <c r="V26" s="68">
        <v>0</v>
      </c>
      <c r="W26" s="4"/>
      <c r="X26" s="2">
        <v>1</v>
      </c>
      <c r="Y26" s="68">
        <v>0</v>
      </c>
    </row>
    <row r="27" spans="1:25" x14ac:dyDescent="0.25">
      <c r="A27" s="2" t="s">
        <v>236</v>
      </c>
      <c r="B27" s="2">
        <v>1</v>
      </c>
      <c r="C27" s="2">
        <v>1</v>
      </c>
      <c r="D27" s="68">
        <v>0</v>
      </c>
      <c r="E27" s="2">
        <v>1</v>
      </c>
      <c r="F27" s="2">
        <v>0</v>
      </c>
      <c r="G27" s="68">
        <v>0</v>
      </c>
      <c r="H27" s="2">
        <v>1</v>
      </c>
      <c r="I27" s="2">
        <v>1</v>
      </c>
      <c r="J27" s="68">
        <v>0</v>
      </c>
      <c r="K27" s="2">
        <v>1</v>
      </c>
      <c r="L27" s="2">
        <v>0</v>
      </c>
      <c r="M27" s="68">
        <v>0</v>
      </c>
      <c r="N27" s="2">
        <v>0</v>
      </c>
      <c r="O27" s="2">
        <v>0</v>
      </c>
      <c r="P27" s="68">
        <v>1</v>
      </c>
      <c r="Q27" s="2">
        <v>0</v>
      </c>
      <c r="R27" s="2">
        <v>0</v>
      </c>
      <c r="S27" s="68">
        <v>1</v>
      </c>
      <c r="T27" s="2">
        <v>1</v>
      </c>
      <c r="U27" s="2">
        <v>1</v>
      </c>
      <c r="V27" s="68">
        <v>0</v>
      </c>
      <c r="W27" s="4"/>
      <c r="X27" s="2">
        <v>1</v>
      </c>
      <c r="Y27" s="68">
        <v>0</v>
      </c>
    </row>
    <row r="28" spans="1:25" x14ac:dyDescent="0.25">
      <c r="A28" s="2" t="s">
        <v>236</v>
      </c>
      <c r="B28" s="2">
        <v>1</v>
      </c>
      <c r="C28" s="2">
        <v>1</v>
      </c>
      <c r="D28" s="68">
        <v>0</v>
      </c>
      <c r="E28" s="2">
        <v>1</v>
      </c>
      <c r="F28" s="2">
        <v>1</v>
      </c>
      <c r="G28" s="68">
        <v>0</v>
      </c>
      <c r="H28" s="2">
        <v>1</v>
      </c>
      <c r="I28" s="2">
        <v>0</v>
      </c>
      <c r="J28" s="68">
        <v>0</v>
      </c>
      <c r="K28" s="2">
        <v>1</v>
      </c>
      <c r="L28" s="2">
        <v>0</v>
      </c>
      <c r="M28" s="68">
        <v>0</v>
      </c>
      <c r="N28" s="2">
        <v>0</v>
      </c>
      <c r="O28" s="2">
        <v>0</v>
      </c>
      <c r="P28" s="68">
        <v>1</v>
      </c>
      <c r="Q28" s="2">
        <v>0</v>
      </c>
      <c r="R28" s="2">
        <v>0</v>
      </c>
      <c r="S28" s="68">
        <v>1</v>
      </c>
      <c r="T28" s="2">
        <v>1</v>
      </c>
      <c r="U28" s="2">
        <v>1</v>
      </c>
      <c r="V28" s="68">
        <v>0</v>
      </c>
      <c r="W28" s="4"/>
      <c r="X28" s="2">
        <v>1</v>
      </c>
      <c r="Y28" s="68">
        <v>0</v>
      </c>
    </row>
    <row r="29" spans="1:25" x14ac:dyDescent="0.25">
      <c r="A29" s="2" t="s">
        <v>236</v>
      </c>
      <c r="B29" s="3">
        <v>1</v>
      </c>
      <c r="C29" s="3">
        <v>1</v>
      </c>
      <c r="D29" s="68">
        <v>0</v>
      </c>
      <c r="E29" s="3">
        <v>1</v>
      </c>
      <c r="F29" s="3">
        <v>1</v>
      </c>
      <c r="G29" s="68">
        <v>0</v>
      </c>
      <c r="H29" s="3">
        <v>1</v>
      </c>
      <c r="I29" s="3">
        <v>1</v>
      </c>
      <c r="J29" s="68">
        <v>0</v>
      </c>
      <c r="K29" s="3">
        <v>1</v>
      </c>
      <c r="L29" s="3">
        <v>0</v>
      </c>
      <c r="M29" s="68">
        <v>0</v>
      </c>
      <c r="N29" s="3">
        <v>0</v>
      </c>
      <c r="O29" s="3">
        <v>0</v>
      </c>
      <c r="P29" s="68">
        <v>1</v>
      </c>
      <c r="Q29" s="3">
        <v>0</v>
      </c>
      <c r="R29" s="3">
        <v>0</v>
      </c>
      <c r="S29" s="68">
        <v>1</v>
      </c>
      <c r="T29" s="3">
        <v>1</v>
      </c>
      <c r="U29" s="3">
        <v>1</v>
      </c>
      <c r="V29" s="68">
        <v>0</v>
      </c>
      <c r="W29" s="4"/>
      <c r="X29" s="3">
        <v>1</v>
      </c>
      <c r="Y29" s="68">
        <v>0</v>
      </c>
    </row>
    <row r="30" spans="1:25" x14ac:dyDescent="0.25">
      <c r="A30" s="2" t="s">
        <v>236</v>
      </c>
      <c r="B30" s="2">
        <v>1</v>
      </c>
      <c r="C30" s="2">
        <v>1</v>
      </c>
      <c r="D30" s="68">
        <v>0</v>
      </c>
      <c r="E30" s="2">
        <v>1</v>
      </c>
      <c r="F30" s="2">
        <v>1</v>
      </c>
      <c r="G30" s="68">
        <v>0</v>
      </c>
      <c r="H30" s="2">
        <v>1</v>
      </c>
      <c r="I30" s="2">
        <v>1</v>
      </c>
      <c r="J30" s="68">
        <v>0</v>
      </c>
      <c r="K30" s="2">
        <v>1</v>
      </c>
      <c r="L30" s="2">
        <v>1</v>
      </c>
      <c r="M30" s="68">
        <v>0</v>
      </c>
      <c r="N30" s="2">
        <v>0</v>
      </c>
      <c r="O30" s="2">
        <v>0</v>
      </c>
      <c r="P30" s="68">
        <v>1</v>
      </c>
      <c r="Q30" s="2">
        <v>0</v>
      </c>
      <c r="R30" s="2">
        <v>0</v>
      </c>
      <c r="S30" s="68">
        <v>1</v>
      </c>
      <c r="T30" s="2">
        <v>1</v>
      </c>
      <c r="U30" s="2">
        <v>1</v>
      </c>
      <c r="V30" s="68">
        <v>0</v>
      </c>
      <c r="W30" s="4"/>
      <c r="X30" s="2">
        <v>1</v>
      </c>
      <c r="Y30" s="68">
        <v>0</v>
      </c>
    </row>
    <row r="31" spans="1:25" x14ac:dyDescent="0.25">
      <c r="A31" s="2" t="s">
        <v>236</v>
      </c>
      <c r="B31" s="2">
        <v>1</v>
      </c>
      <c r="C31" s="2">
        <v>1</v>
      </c>
      <c r="D31" s="68">
        <v>0</v>
      </c>
      <c r="E31" s="2">
        <v>1</v>
      </c>
      <c r="F31" s="2">
        <v>1</v>
      </c>
      <c r="G31" s="68">
        <v>0</v>
      </c>
      <c r="H31" s="2">
        <v>1</v>
      </c>
      <c r="I31" s="2">
        <v>1</v>
      </c>
      <c r="J31" s="68">
        <v>0</v>
      </c>
      <c r="K31" s="2">
        <v>1</v>
      </c>
      <c r="L31" s="2">
        <v>1</v>
      </c>
      <c r="M31" s="68">
        <v>0</v>
      </c>
      <c r="N31" s="2">
        <v>0</v>
      </c>
      <c r="O31" s="2">
        <v>0</v>
      </c>
      <c r="P31" s="68">
        <v>1</v>
      </c>
      <c r="Q31" s="2">
        <v>0</v>
      </c>
      <c r="R31" s="2">
        <v>0</v>
      </c>
      <c r="S31" s="68">
        <v>1</v>
      </c>
      <c r="T31" s="2">
        <v>1</v>
      </c>
      <c r="U31" s="2">
        <v>1</v>
      </c>
      <c r="V31" s="68">
        <v>0</v>
      </c>
      <c r="W31" s="4"/>
      <c r="X31" s="2">
        <v>1</v>
      </c>
      <c r="Y31" s="68">
        <v>0</v>
      </c>
    </row>
    <row r="32" spans="1:25" x14ac:dyDescent="0.25">
      <c r="A32" s="2" t="s">
        <v>236</v>
      </c>
      <c r="B32" s="2">
        <v>1</v>
      </c>
      <c r="C32" s="2">
        <v>0</v>
      </c>
      <c r="D32" s="68">
        <v>0</v>
      </c>
      <c r="E32" s="2">
        <v>1</v>
      </c>
      <c r="F32" s="2">
        <v>1</v>
      </c>
      <c r="G32" s="68">
        <v>0</v>
      </c>
      <c r="H32" s="2">
        <v>1</v>
      </c>
      <c r="I32" s="2">
        <v>1</v>
      </c>
      <c r="J32" s="68">
        <v>0</v>
      </c>
      <c r="K32" s="2">
        <v>0</v>
      </c>
      <c r="L32" s="2">
        <v>0</v>
      </c>
      <c r="M32" s="68">
        <v>1</v>
      </c>
      <c r="N32" s="2">
        <v>0</v>
      </c>
      <c r="O32" s="2">
        <v>0</v>
      </c>
      <c r="P32" s="68">
        <v>1</v>
      </c>
      <c r="Q32" s="2">
        <v>1</v>
      </c>
      <c r="R32" s="2">
        <v>1</v>
      </c>
      <c r="S32" s="68">
        <v>0</v>
      </c>
      <c r="T32" s="2">
        <v>1</v>
      </c>
      <c r="U32" s="2">
        <v>1</v>
      </c>
      <c r="V32" s="68">
        <v>0</v>
      </c>
      <c r="W32" s="4"/>
      <c r="X32" s="2">
        <v>1</v>
      </c>
      <c r="Y32" s="68">
        <v>0</v>
      </c>
    </row>
    <row r="33" spans="1:30" x14ac:dyDescent="0.25">
      <c r="A33" s="2" t="s">
        <v>236</v>
      </c>
      <c r="B33" s="2">
        <v>1</v>
      </c>
      <c r="C33" s="2">
        <v>1</v>
      </c>
      <c r="D33" s="68">
        <v>0</v>
      </c>
      <c r="E33" s="2">
        <v>1</v>
      </c>
      <c r="F33" s="2">
        <v>1</v>
      </c>
      <c r="G33" s="68">
        <v>0</v>
      </c>
      <c r="H33" s="2">
        <v>1</v>
      </c>
      <c r="I33" s="2">
        <v>1</v>
      </c>
      <c r="J33" s="68">
        <v>0</v>
      </c>
      <c r="K33" s="2">
        <v>0</v>
      </c>
      <c r="L33" s="2">
        <v>0</v>
      </c>
      <c r="M33" s="68">
        <v>1</v>
      </c>
      <c r="N33" s="2">
        <v>0</v>
      </c>
      <c r="O33" s="2">
        <v>0</v>
      </c>
      <c r="P33" s="68">
        <v>1</v>
      </c>
      <c r="Q33" s="2">
        <v>1</v>
      </c>
      <c r="R33" s="2">
        <v>1</v>
      </c>
      <c r="S33" s="68">
        <v>0</v>
      </c>
      <c r="T33" s="2">
        <v>1</v>
      </c>
      <c r="U33" s="2">
        <v>1</v>
      </c>
      <c r="V33" s="68">
        <v>0</v>
      </c>
      <c r="W33" s="4"/>
      <c r="X33" s="2">
        <v>1</v>
      </c>
      <c r="Y33" s="68">
        <v>0</v>
      </c>
    </row>
    <row r="34" spans="1:30" x14ac:dyDescent="0.25">
      <c r="A34" s="2" t="s">
        <v>236</v>
      </c>
      <c r="B34" s="2">
        <v>1</v>
      </c>
      <c r="C34" s="2">
        <v>1</v>
      </c>
      <c r="D34" s="68">
        <v>0</v>
      </c>
      <c r="E34" s="2">
        <v>1</v>
      </c>
      <c r="F34" s="2">
        <v>1</v>
      </c>
      <c r="G34" s="68">
        <v>0</v>
      </c>
      <c r="H34" s="2">
        <v>1</v>
      </c>
      <c r="I34" s="2">
        <v>1</v>
      </c>
      <c r="J34" s="68">
        <v>0</v>
      </c>
      <c r="K34" s="2"/>
      <c r="L34" s="2"/>
      <c r="M34" s="68"/>
      <c r="N34" s="2"/>
      <c r="O34" s="2"/>
      <c r="P34" s="68"/>
      <c r="Q34" s="2"/>
      <c r="R34" s="2"/>
      <c r="S34" s="68"/>
      <c r="T34" s="2">
        <v>1</v>
      </c>
      <c r="U34" s="2">
        <v>1</v>
      </c>
      <c r="V34" s="68">
        <v>0</v>
      </c>
      <c r="W34" s="4"/>
      <c r="X34" s="2">
        <v>1</v>
      </c>
      <c r="Y34" s="68">
        <v>0</v>
      </c>
    </row>
    <row r="35" spans="1:30" x14ac:dyDescent="0.25">
      <c r="A35" s="2" t="s">
        <v>236</v>
      </c>
      <c r="B35" s="2">
        <v>1</v>
      </c>
      <c r="C35" s="2">
        <v>1</v>
      </c>
      <c r="D35" s="68">
        <v>0</v>
      </c>
      <c r="E35" s="2">
        <v>1</v>
      </c>
      <c r="F35" s="2">
        <v>1</v>
      </c>
      <c r="G35" s="68">
        <v>0</v>
      </c>
      <c r="H35" s="2">
        <v>1</v>
      </c>
      <c r="I35" s="2">
        <v>1</v>
      </c>
      <c r="J35" s="68">
        <v>0</v>
      </c>
      <c r="K35" s="2"/>
      <c r="L35" s="2"/>
      <c r="M35" s="68"/>
      <c r="N35" s="2"/>
      <c r="O35" s="2"/>
      <c r="P35" s="68"/>
      <c r="Q35" s="2"/>
      <c r="R35" s="2"/>
      <c r="S35" s="68"/>
      <c r="T35" s="2">
        <v>1</v>
      </c>
      <c r="U35" s="2">
        <v>0</v>
      </c>
      <c r="V35" s="68">
        <v>0</v>
      </c>
      <c r="W35" s="4"/>
      <c r="X35" s="2">
        <v>1</v>
      </c>
      <c r="Y35" s="68">
        <v>0</v>
      </c>
    </row>
    <row r="36" spans="1:30" x14ac:dyDescent="0.25">
      <c r="A36" s="2" t="s">
        <v>236</v>
      </c>
      <c r="B36" s="2">
        <v>1</v>
      </c>
      <c r="C36" s="2">
        <v>0</v>
      </c>
      <c r="D36" s="68">
        <v>0</v>
      </c>
      <c r="E36" s="2">
        <v>1</v>
      </c>
      <c r="F36" s="2">
        <v>1</v>
      </c>
      <c r="G36" s="68">
        <v>0</v>
      </c>
      <c r="H36" s="2">
        <v>1</v>
      </c>
      <c r="I36" s="2">
        <v>1</v>
      </c>
      <c r="J36" s="68">
        <v>0</v>
      </c>
      <c r="K36" s="2"/>
      <c r="L36" s="2"/>
      <c r="M36" s="68"/>
      <c r="N36" s="2"/>
      <c r="O36" s="2"/>
      <c r="P36" s="68"/>
      <c r="Q36" s="2"/>
      <c r="R36" s="2"/>
      <c r="S36" s="68"/>
      <c r="T36" s="2"/>
      <c r="U36" s="2"/>
      <c r="V36" s="68"/>
      <c r="W36" s="4"/>
      <c r="X36" s="2">
        <v>1</v>
      </c>
      <c r="Y36" s="68">
        <v>0</v>
      </c>
    </row>
    <row r="37" spans="1:30" x14ac:dyDescent="0.25">
      <c r="A37" s="2" t="s">
        <v>236</v>
      </c>
      <c r="B37" s="2">
        <v>1</v>
      </c>
      <c r="C37" s="2">
        <v>1</v>
      </c>
      <c r="D37" s="68">
        <v>0</v>
      </c>
      <c r="E37" s="2">
        <v>1</v>
      </c>
      <c r="F37" s="2">
        <v>1</v>
      </c>
      <c r="G37" s="68">
        <v>0</v>
      </c>
      <c r="H37" s="2"/>
      <c r="I37" s="2"/>
      <c r="J37" s="68"/>
      <c r="K37" s="2"/>
      <c r="L37" s="2"/>
      <c r="M37" s="68"/>
      <c r="N37" s="2"/>
      <c r="O37" s="2"/>
      <c r="P37" s="68"/>
      <c r="Q37" s="2"/>
      <c r="R37" s="2"/>
      <c r="S37" s="68"/>
      <c r="T37" s="2"/>
      <c r="U37" s="2"/>
      <c r="V37" s="68"/>
      <c r="W37" s="4"/>
      <c r="X37" s="2">
        <v>1</v>
      </c>
      <c r="Y37" s="68">
        <v>0</v>
      </c>
    </row>
    <row r="38" spans="1:30" x14ac:dyDescent="0.25">
      <c r="A38" s="2" t="s">
        <v>236</v>
      </c>
      <c r="B38" s="2">
        <v>1</v>
      </c>
      <c r="C38" s="2">
        <v>0</v>
      </c>
      <c r="D38" s="68">
        <v>0</v>
      </c>
      <c r="E38" s="2">
        <v>1</v>
      </c>
      <c r="F38" s="2">
        <v>1</v>
      </c>
      <c r="G38" s="68">
        <v>0</v>
      </c>
      <c r="H38" s="2"/>
      <c r="I38" s="2"/>
      <c r="J38" s="68"/>
      <c r="K38" s="2"/>
      <c r="L38" s="2"/>
      <c r="M38" s="68"/>
      <c r="N38" s="2"/>
      <c r="O38" s="2"/>
      <c r="P38" s="68"/>
      <c r="Q38" s="2"/>
      <c r="R38" s="2"/>
      <c r="S38" s="68"/>
      <c r="T38" s="2">
        <v>1</v>
      </c>
      <c r="U38" s="2">
        <v>1</v>
      </c>
      <c r="V38" s="68">
        <v>0</v>
      </c>
      <c r="W38" s="4"/>
      <c r="X38" s="2"/>
      <c r="Y38" s="68"/>
    </row>
    <row r="39" spans="1:30" x14ac:dyDescent="0.25">
      <c r="A39" s="2" t="s">
        <v>236</v>
      </c>
      <c r="B39" s="3"/>
      <c r="C39" s="3"/>
      <c r="D39" s="68"/>
      <c r="E39" s="3">
        <v>1</v>
      </c>
      <c r="F39" s="3">
        <v>1</v>
      </c>
      <c r="G39" s="68">
        <v>0</v>
      </c>
      <c r="H39" s="3">
        <v>1</v>
      </c>
      <c r="I39" s="3">
        <v>1</v>
      </c>
      <c r="J39" s="68">
        <v>0</v>
      </c>
      <c r="K39" s="3"/>
      <c r="L39" s="3"/>
      <c r="M39" s="68"/>
      <c r="N39" s="3"/>
      <c r="O39" s="3"/>
      <c r="P39" s="68"/>
      <c r="Q39" s="3"/>
      <c r="R39" s="3"/>
      <c r="S39" s="68"/>
      <c r="T39" s="3"/>
      <c r="U39" s="3"/>
      <c r="V39" s="68"/>
      <c r="W39" s="4"/>
      <c r="X39" s="3"/>
      <c r="Y39" s="68"/>
    </row>
    <row r="40" spans="1:30" x14ac:dyDescent="0.25">
      <c r="A40" s="2" t="s">
        <v>236</v>
      </c>
      <c r="B40" s="2">
        <v>1</v>
      </c>
      <c r="C40" s="2">
        <v>1</v>
      </c>
      <c r="D40" s="68">
        <v>0</v>
      </c>
      <c r="E40" s="2">
        <v>1</v>
      </c>
      <c r="F40" s="2">
        <v>1</v>
      </c>
      <c r="G40" s="68">
        <v>0</v>
      </c>
      <c r="H40" s="2"/>
      <c r="I40" s="2"/>
      <c r="J40" s="68"/>
      <c r="K40" s="2"/>
      <c r="L40" s="2"/>
      <c r="M40" s="68"/>
      <c r="N40" s="2"/>
      <c r="O40" s="2"/>
      <c r="P40" s="68"/>
      <c r="Q40" s="2"/>
      <c r="R40" s="2"/>
      <c r="S40" s="68"/>
      <c r="T40" s="2"/>
      <c r="U40" s="2"/>
      <c r="V40" s="68"/>
      <c r="W40" s="4"/>
      <c r="X40" s="2"/>
      <c r="Y40" s="68"/>
    </row>
    <row r="41" spans="1:30" x14ac:dyDescent="0.25">
      <c r="A41" s="2" t="s">
        <v>237</v>
      </c>
      <c r="B41" s="2">
        <v>1</v>
      </c>
      <c r="C41" s="2">
        <v>1</v>
      </c>
      <c r="D41" s="68">
        <v>0</v>
      </c>
      <c r="E41" s="2">
        <v>1</v>
      </c>
      <c r="F41" s="2">
        <v>1</v>
      </c>
      <c r="G41" s="68">
        <v>0</v>
      </c>
      <c r="H41" s="2">
        <v>1</v>
      </c>
      <c r="I41" s="2">
        <v>1</v>
      </c>
      <c r="J41" s="68">
        <v>0</v>
      </c>
      <c r="K41" s="2">
        <v>0</v>
      </c>
      <c r="L41" s="2">
        <v>0</v>
      </c>
      <c r="M41" s="68">
        <v>1</v>
      </c>
      <c r="N41" s="2">
        <v>0</v>
      </c>
      <c r="O41" s="2">
        <v>0</v>
      </c>
      <c r="P41" s="68">
        <v>1</v>
      </c>
      <c r="Q41" s="2">
        <v>0</v>
      </c>
      <c r="R41" s="2">
        <v>0</v>
      </c>
      <c r="S41" s="68">
        <v>1</v>
      </c>
      <c r="T41" s="2">
        <v>0</v>
      </c>
      <c r="U41" s="2">
        <v>0</v>
      </c>
      <c r="V41" s="68">
        <v>1</v>
      </c>
      <c r="W41" s="4"/>
      <c r="X41" s="2">
        <v>0</v>
      </c>
      <c r="Y41" s="68">
        <v>1</v>
      </c>
      <c r="AA41" s="1" t="s">
        <v>559</v>
      </c>
    </row>
    <row r="42" spans="1:30" x14ac:dyDescent="0.25">
      <c r="A42" s="2" t="s">
        <v>237</v>
      </c>
      <c r="B42" s="2">
        <v>1</v>
      </c>
      <c r="C42" s="2">
        <v>1</v>
      </c>
      <c r="D42" s="68">
        <v>0</v>
      </c>
      <c r="E42" s="2">
        <v>1</v>
      </c>
      <c r="F42" s="2">
        <v>1</v>
      </c>
      <c r="G42" s="68">
        <v>0</v>
      </c>
      <c r="H42" s="2">
        <v>1</v>
      </c>
      <c r="I42" s="2">
        <v>1</v>
      </c>
      <c r="J42" s="68">
        <v>0</v>
      </c>
      <c r="K42" s="2">
        <v>0</v>
      </c>
      <c r="L42" s="2">
        <v>0</v>
      </c>
      <c r="M42" s="68">
        <v>1</v>
      </c>
      <c r="N42" s="2">
        <v>0</v>
      </c>
      <c r="O42" s="2">
        <v>0</v>
      </c>
      <c r="P42" s="68">
        <v>1</v>
      </c>
      <c r="Q42" s="2">
        <v>0</v>
      </c>
      <c r="R42" s="2">
        <v>0</v>
      </c>
      <c r="S42" s="68">
        <v>1</v>
      </c>
      <c r="T42" s="2">
        <v>1</v>
      </c>
      <c r="U42" s="2">
        <v>1</v>
      </c>
      <c r="V42" s="68">
        <v>0</v>
      </c>
      <c r="W42" s="4"/>
      <c r="X42" s="2">
        <v>1</v>
      </c>
      <c r="Y42" s="68">
        <v>0</v>
      </c>
    </row>
    <row r="43" spans="1:30" x14ac:dyDescent="0.25">
      <c r="A43" s="2" t="s">
        <v>237</v>
      </c>
      <c r="B43" s="2">
        <v>1</v>
      </c>
      <c r="C43" s="2">
        <v>1</v>
      </c>
      <c r="D43" s="68">
        <v>0</v>
      </c>
      <c r="E43" s="2">
        <v>1</v>
      </c>
      <c r="F43" s="2">
        <v>1</v>
      </c>
      <c r="G43" s="68">
        <v>0</v>
      </c>
      <c r="H43" s="2">
        <v>1</v>
      </c>
      <c r="I43" s="2">
        <v>1</v>
      </c>
      <c r="J43" s="68">
        <v>0</v>
      </c>
      <c r="K43" s="2">
        <v>1</v>
      </c>
      <c r="L43" s="2">
        <v>0</v>
      </c>
      <c r="M43" s="68">
        <v>0</v>
      </c>
      <c r="N43" s="2">
        <v>0</v>
      </c>
      <c r="O43" s="2">
        <v>0</v>
      </c>
      <c r="P43" s="68">
        <v>1</v>
      </c>
      <c r="Q43" s="2">
        <v>0</v>
      </c>
      <c r="R43" s="2">
        <v>0</v>
      </c>
      <c r="S43" s="68">
        <v>1</v>
      </c>
      <c r="T43" s="2">
        <v>1</v>
      </c>
      <c r="U43" s="2">
        <v>1</v>
      </c>
      <c r="V43" s="68">
        <v>0</v>
      </c>
      <c r="W43" s="4"/>
      <c r="X43" s="2">
        <v>1</v>
      </c>
      <c r="Y43" s="68">
        <v>0</v>
      </c>
      <c r="AA43" s="1" t="s">
        <v>273</v>
      </c>
    </row>
    <row r="44" spans="1:30" x14ac:dyDescent="0.25">
      <c r="A44" s="2" t="s">
        <v>237</v>
      </c>
      <c r="B44" s="2">
        <v>1</v>
      </c>
      <c r="C44" s="2">
        <v>0</v>
      </c>
      <c r="D44" s="68">
        <v>0</v>
      </c>
      <c r="E44" s="2">
        <v>1</v>
      </c>
      <c r="F44" s="2">
        <v>0</v>
      </c>
      <c r="G44" s="68">
        <v>0</v>
      </c>
      <c r="H44" s="2"/>
      <c r="I44" s="2"/>
      <c r="J44" s="68"/>
      <c r="K44" s="2">
        <v>1</v>
      </c>
      <c r="L44" s="2">
        <v>0</v>
      </c>
      <c r="M44" s="68">
        <v>0</v>
      </c>
      <c r="N44" s="2"/>
      <c r="O44" s="2"/>
      <c r="P44" s="68"/>
      <c r="Q44" s="2">
        <v>1</v>
      </c>
      <c r="R44" s="2">
        <v>0</v>
      </c>
      <c r="S44" s="68">
        <v>0</v>
      </c>
      <c r="T44" s="2"/>
      <c r="U44" s="2"/>
      <c r="V44" s="68"/>
      <c r="W44" s="4"/>
      <c r="X44" s="2"/>
      <c r="Y44" s="68"/>
      <c r="AA44" s="43"/>
      <c r="AB44" s="43" t="s">
        <v>558</v>
      </c>
      <c r="AC44" s="43" t="s">
        <v>557</v>
      </c>
      <c r="AD44" s="43" t="s">
        <v>556</v>
      </c>
    </row>
    <row r="45" spans="1:30" x14ac:dyDescent="0.25">
      <c r="A45" s="2" t="s">
        <v>237</v>
      </c>
      <c r="B45" s="2">
        <v>1</v>
      </c>
      <c r="C45" s="2">
        <v>1</v>
      </c>
      <c r="D45" s="68">
        <v>0</v>
      </c>
      <c r="E45" s="2">
        <v>1</v>
      </c>
      <c r="F45" s="2">
        <v>1</v>
      </c>
      <c r="G45" s="68">
        <v>0</v>
      </c>
      <c r="H45" s="2"/>
      <c r="I45" s="2"/>
      <c r="J45" s="68"/>
      <c r="K45" s="2"/>
      <c r="L45" s="2"/>
      <c r="M45" s="68"/>
      <c r="N45" s="2"/>
      <c r="O45" s="2"/>
      <c r="P45" s="68"/>
      <c r="Q45" s="2"/>
      <c r="R45" s="2"/>
      <c r="S45" s="68"/>
      <c r="T45" s="2"/>
      <c r="U45" s="2"/>
      <c r="V45" s="68"/>
      <c r="W45" s="4"/>
      <c r="X45" s="2"/>
      <c r="Y45" s="68"/>
      <c r="AA45" s="8" t="s">
        <v>543</v>
      </c>
      <c r="AB45" s="63">
        <f>12/32</f>
        <v>0.375</v>
      </c>
      <c r="AC45" s="63">
        <f>20/32</f>
        <v>0.625</v>
      </c>
      <c r="AD45" s="69"/>
    </row>
    <row r="46" spans="1:30" x14ac:dyDescent="0.25">
      <c r="A46" s="2" t="s">
        <v>238</v>
      </c>
      <c r="B46" s="2">
        <v>0</v>
      </c>
      <c r="C46" s="2">
        <v>0</v>
      </c>
      <c r="D46" s="68">
        <v>1</v>
      </c>
      <c r="E46" s="2">
        <v>1</v>
      </c>
      <c r="F46" s="2">
        <v>0</v>
      </c>
      <c r="G46" s="68">
        <v>0</v>
      </c>
      <c r="H46" s="2">
        <v>0</v>
      </c>
      <c r="I46" s="2">
        <v>0</v>
      </c>
      <c r="J46" s="68">
        <v>1</v>
      </c>
      <c r="K46" s="2">
        <v>0</v>
      </c>
      <c r="L46" s="2">
        <v>0</v>
      </c>
      <c r="M46" s="68">
        <v>1</v>
      </c>
      <c r="N46" s="2">
        <v>0</v>
      </c>
      <c r="O46" s="2">
        <v>0</v>
      </c>
      <c r="P46" s="68">
        <v>1</v>
      </c>
      <c r="Q46" s="2">
        <v>0</v>
      </c>
      <c r="R46" s="2">
        <v>0</v>
      </c>
      <c r="S46" s="68">
        <v>1</v>
      </c>
      <c r="T46" s="2">
        <v>0</v>
      </c>
      <c r="U46" s="2">
        <v>0</v>
      </c>
      <c r="V46" s="68">
        <v>1</v>
      </c>
      <c r="W46" s="4"/>
      <c r="X46" s="2">
        <v>0</v>
      </c>
      <c r="Y46" s="68">
        <v>1</v>
      </c>
      <c r="AA46" s="8" t="s">
        <v>540</v>
      </c>
      <c r="AB46" s="63">
        <f>26/27</f>
        <v>0.96296296296296291</v>
      </c>
      <c r="AC46" s="63">
        <v>0</v>
      </c>
      <c r="AD46" s="63">
        <f>1/27</f>
        <v>3.7037037037037035E-2</v>
      </c>
    </row>
    <row r="47" spans="1:30" x14ac:dyDescent="0.25">
      <c r="A47" s="2" t="s">
        <v>238</v>
      </c>
      <c r="B47" s="2">
        <v>0</v>
      </c>
      <c r="C47" s="2">
        <v>1</v>
      </c>
      <c r="D47" s="68">
        <v>0</v>
      </c>
      <c r="E47" s="2">
        <v>0</v>
      </c>
      <c r="F47" s="2">
        <v>0</v>
      </c>
      <c r="G47" s="68">
        <v>1</v>
      </c>
      <c r="H47" s="2">
        <v>0</v>
      </c>
      <c r="I47" s="2">
        <v>0</v>
      </c>
      <c r="J47" s="68">
        <v>1</v>
      </c>
      <c r="K47" s="2">
        <v>0</v>
      </c>
      <c r="L47" s="2">
        <v>1</v>
      </c>
      <c r="M47" s="68">
        <v>0</v>
      </c>
      <c r="N47" s="2">
        <v>0</v>
      </c>
      <c r="O47" s="2">
        <v>0</v>
      </c>
      <c r="P47" s="68">
        <v>1</v>
      </c>
      <c r="Q47" s="2">
        <v>0</v>
      </c>
      <c r="R47" s="2">
        <v>0</v>
      </c>
      <c r="S47" s="68">
        <v>1</v>
      </c>
      <c r="T47" s="2">
        <v>0</v>
      </c>
      <c r="U47" s="2">
        <v>0</v>
      </c>
      <c r="V47" s="68">
        <v>1</v>
      </c>
      <c r="W47" s="4"/>
      <c r="X47" s="2">
        <v>0</v>
      </c>
      <c r="Y47" s="68">
        <v>1</v>
      </c>
      <c r="AA47" s="8" t="s">
        <v>541</v>
      </c>
      <c r="AB47" s="63">
        <f>24/27</f>
        <v>0.88888888888888884</v>
      </c>
      <c r="AC47" s="63">
        <f>2/27</f>
        <v>7.407407407407407E-2</v>
      </c>
      <c r="AD47" s="63">
        <f>3/27</f>
        <v>0.1111111111111111</v>
      </c>
    </row>
    <row r="48" spans="1:30" x14ac:dyDescent="0.25">
      <c r="A48" s="2" t="s">
        <v>238</v>
      </c>
      <c r="B48" s="2">
        <v>0</v>
      </c>
      <c r="C48" s="2">
        <v>0</v>
      </c>
      <c r="D48" s="68">
        <v>1</v>
      </c>
      <c r="E48" s="2">
        <v>0</v>
      </c>
      <c r="F48" s="2">
        <v>1</v>
      </c>
      <c r="G48" s="68">
        <v>0</v>
      </c>
      <c r="H48" s="2">
        <v>1</v>
      </c>
      <c r="I48" s="2">
        <v>0</v>
      </c>
      <c r="J48" s="68">
        <v>0</v>
      </c>
      <c r="K48" s="2">
        <v>0</v>
      </c>
      <c r="L48" s="2">
        <v>0</v>
      </c>
      <c r="M48" s="68">
        <v>1</v>
      </c>
      <c r="N48" s="2">
        <v>0</v>
      </c>
      <c r="O48" s="2">
        <v>0</v>
      </c>
      <c r="P48" s="68">
        <v>1</v>
      </c>
      <c r="Q48" s="2">
        <v>0</v>
      </c>
      <c r="R48" s="2">
        <v>0</v>
      </c>
      <c r="S48" s="68">
        <v>1</v>
      </c>
      <c r="T48" s="2">
        <v>0</v>
      </c>
      <c r="U48" s="2">
        <v>0</v>
      </c>
      <c r="V48" s="68">
        <v>1</v>
      </c>
      <c r="W48" s="4"/>
      <c r="X48" s="2">
        <v>0</v>
      </c>
      <c r="Y48" s="68">
        <v>1</v>
      </c>
      <c r="AA48" s="8" t="s">
        <v>542</v>
      </c>
      <c r="AB48" s="63">
        <f>2/31</f>
        <v>6.4516129032258063E-2</v>
      </c>
      <c r="AC48" s="63">
        <f>22/31</f>
        <v>0.70967741935483875</v>
      </c>
      <c r="AD48" s="63">
        <f>29/31</f>
        <v>0.93548387096774188</v>
      </c>
    </row>
    <row r="49" spans="1:30" x14ac:dyDescent="0.25">
      <c r="A49" s="2" t="s">
        <v>238</v>
      </c>
      <c r="B49" s="2">
        <v>0</v>
      </c>
      <c r="C49" s="2">
        <v>0</v>
      </c>
      <c r="D49" s="68">
        <v>1</v>
      </c>
      <c r="E49" s="2">
        <v>1</v>
      </c>
      <c r="F49" s="2">
        <v>1</v>
      </c>
      <c r="G49" s="68">
        <v>0</v>
      </c>
      <c r="H49" s="2">
        <v>1</v>
      </c>
      <c r="I49" s="2">
        <v>0</v>
      </c>
      <c r="J49" s="68">
        <v>0</v>
      </c>
      <c r="K49" s="2">
        <v>0</v>
      </c>
      <c r="L49" s="2">
        <v>0</v>
      </c>
      <c r="M49" s="68">
        <v>1</v>
      </c>
      <c r="N49" s="2">
        <v>0</v>
      </c>
      <c r="O49" s="2">
        <v>0</v>
      </c>
      <c r="P49" s="68">
        <v>1</v>
      </c>
      <c r="Q49" s="2">
        <v>0</v>
      </c>
      <c r="R49" s="2">
        <v>0</v>
      </c>
      <c r="S49" s="68">
        <v>1</v>
      </c>
      <c r="T49" s="2">
        <v>0</v>
      </c>
      <c r="U49" s="2">
        <v>0</v>
      </c>
      <c r="V49" s="68">
        <v>1</v>
      </c>
      <c r="W49" s="4"/>
      <c r="X49" s="2">
        <v>0</v>
      </c>
      <c r="Y49" s="68">
        <v>1</v>
      </c>
      <c r="AA49" s="8" t="s">
        <v>539</v>
      </c>
      <c r="AB49" s="63">
        <f>18/28</f>
        <v>0.6428571428571429</v>
      </c>
      <c r="AC49" s="63">
        <f>4/28</f>
        <v>0.14285714285714285</v>
      </c>
      <c r="AD49" s="63">
        <f>10/28</f>
        <v>0.35714285714285715</v>
      </c>
    </row>
    <row r="50" spans="1:30" x14ac:dyDescent="0.25">
      <c r="A50" s="2" t="s">
        <v>238</v>
      </c>
      <c r="B50" s="2">
        <v>1</v>
      </c>
      <c r="C50" s="2">
        <v>0</v>
      </c>
      <c r="D50" s="68">
        <v>0</v>
      </c>
      <c r="E50" s="2">
        <v>1</v>
      </c>
      <c r="F50" s="2">
        <v>1</v>
      </c>
      <c r="G50" s="68">
        <v>0</v>
      </c>
      <c r="H50" s="2">
        <v>1</v>
      </c>
      <c r="I50" s="2">
        <v>0</v>
      </c>
      <c r="J50" s="68">
        <v>0</v>
      </c>
      <c r="K50" s="2">
        <v>0</v>
      </c>
      <c r="L50" s="2">
        <v>0</v>
      </c>
      <c r="M50" s="68">
        <v>1</v>
      </c>
      <c r="N50" s="2">
        <v>0</v>
      </c>
      <c r="O50" s="2">
        <v>0</v>
      </c>
      <c r="P50" s="68">
        <v>1</v>
      </c>
      <c r="Q50" s="2">
        <v>0</v>
      </c>
      <c r="R50" s="2">
        <v>0</v>
      </c>
      <c r="S50" s="68">
        <v>1</v>
      </c>
      <c r="T50" s="2">
        <v>0</v>
      </c>
      <c r="U50" s="2">
        <v>0</v>
      </c>
      <c r="V50" s="68">
        <v>1</v>
      </c>
      <c r="W50" s="4"/>
      <c r="X50" s="2">
        <v>0</v>
      </c>
      <c r="Y50" s="68">
        <v>1</v>
      </c>
      <c r="AA50" s="8" t="s">
        <v>538</v>
      </c>
      <c r="AB50" s="63">
        <v>0</v>
      </c>
      <c r="AC50" s="63">
        <f>27/33</f>
        <v>0.81818181818181823</v>
      </c>
      <c r="AD50" s="63">
        <f>32/32</f>
        <v>1</v>
      </c>
    </row>
    <row r="51" spans="1:30" x14ac:dyDescent="0.25">
      <c r="A51" s="2" t="s">
        <v>238</v>
      </c>
      <c r="B51" s="2">
        <v>0</v>
      </c>
      <c r="C51" s="2">
        <v>0</v>
      </c>
      <c r="D51" s="68">
        <v>1</v>
      </c>
      <c r="E51" s="2">
        <v>1</v>
      </c>
      <c r="F51" s="2">
        <v>1</v>
      </c>
      <c r="G51" s="68">
        <v>0</v>
      </c>
      <c r="H51" s="2"/>
      <c r="I51" s="2"/>
      <c r="J51" s="68"/>
      <c r="K51" s="2">
        <v>0</v>
      </c>
      <c r="L51" s="2">
        <v>0</v>
      </c>
      <c r="M51" s="68">
        <v>1</v>
      </c>
      <c r="N51" s="2">
        <v>0</v>
      </c>
      <c r="O51" s="2">
        <v>0</v>
      </c>
      <c r="P51" s="68">
        <v>1</v>
      </c>
      <c r="Q51" s="2">
        <v>0</v>
      </c>
      <c r="R51" s="2">
        <v>0</v>
      </c>
      <c r="S51" s="68">
        <v>1</v>
      </c>
      <c r="T51" s="2">
        <v>0</v>
      </c>
      <c r="U51" s="2">
        <v>0</v>
      </c>
      <c r="V51" s="68">
        <v>1</v>
      </c>
      <c r="W51" s="4"/>
      <c r="X51" s="2">
        <v>0</v>
      </c>
      <c r="Y51" s="68">
        <v>1</v>
      </c>
      <c r="AA51" s="8" t="s">
        <v>536</v>
      </c>
      <c r="AB51" s="63">
        <v>0</v>
      </c>
      <c r="AC51" s="63">
        <f>22/35</f>
        <v>0.62857142857142856</v>
      </c>
      <c r="AD51" s="63">
        <f>35/35</f>
        <v>1</v>
      </c>
    </row>
    <row r="52" spans="1:30" x14ac:dyDescent="0.25">
      <c r="A52" s="2" t="s">
        <v>238</v>
      </c>
      <c r="B52" s="2">
        <v>1</v>
      </c>
      <c r="C52" s="2">
        <v>0</v>
      </c>
      <c r="D52" s="68">
        <v>0</v>
      </c>
      <c r="E52" s="2">
        <v>1</v>
      </c>
      <c r="F52" s="2">
        <v>0</v>
      </c>
      <c r="G52" s="68">
        <v>0</v>
      </c>
      <c r="H52" s="2">
        <v>0</v>
      </c>
      <c r="I52" s="2">
        <v>0</v>
      </c>
      <c r="J52" s="68">
        <v>1</v>
      </c>
      <c r="K52" s="2">
        <v>1</v>
      </c>
      <c r="L52" s="2">
        <v>0</v>
      </c>
      <c r="M52" s="68">
        <v>0</v>
      </c>
      <c r="N52" s="2">
        <v>0</v>
      </c>
      <c r="O52" s="2">
        <v>0</v>
      </c>
      <c r="P52" s="68">
        <v>1</v>
      </c>
      <c r="Q52" s="2">
        <v>0</v>
      </c>
      <c r="R52" s="2">
        <v>0</v>
      </c>
      <c r="S52" s="68">
        <v>1</v>
      </c>
      <c r="T52" s="2">
        <v>0</v>
      </c>
      <c r="U52" s="2">
        <v>0</v>
      </c>
      <c r="V52" s="68">
        <v>1</v>
      </c>
      <c r="W52" s="4"/>
      <c r="X52" s="2">
        <v>0</v>
      </c>
      <c r="Y52" s="68">
        <v>1</v>
      </c>
      <c r="AA52" s="8" t="s">
        <v>537</v>
      </c>
      <c r="AB52" s="63">
        <f>1/35</f>
        <v>2.8571428571428571E-2</v>
      </c>
      <c r="AC52" s="63">
        <f>30/36</f>
        <v>0.83333333333333337</v>
      </c>
      <c r="AD52" s="63">
        <f>35/36</f>
        <v>0.97222222222222221</v>
      </c>
    </row>
    <row r="53" spans="1:30" x14ac:dyDescent="0.25">
      <c r="A53" s="2" t="s">
        <v>238</v>
      </c>
      <c r="B53" s="2">
        <v>1</v>
      </c>
      <c r="C53" s="2">
        <v>0</v>
      </c>
      <c r="D53" s="68">
        <v>0</v>
      </c>
      <c r="E53" s="2">
        <v>1</v>
      </c>
      <c r="F53" s="2">
        <v>0</v>
      </c>
      <c r="G53" s="68">
        <v>0</v>
      </c>
      <c r="H53" s="2">
        <v>0</v>
      </c>
      <c r="I53" s="2">
        <v>0</v>
      </c>
      <c r="J53" s="68">
        <v>1</v>
      </c>
      <c r="K53" s="2">
        <v>1</v>
      </c>
      <c r="L53" s="2">
        <v>0</v>
      </c>
      <c r="M53" s="68">
        <v>0</v>
      </c>
      <c r="N53" s="2">
        <v>0</v>
      </c>
      <c r="O53" s="2">
        <v>0</v>
      </c>
      <c r="P53" s="68">
        <v>1</v>
      </c>
      <c r="Q53" s="2">
        <v>0</v>
      </c>
      <c r="R53" s="2">
        <v>0</v>
      </c>
      <c r="S53" s="68">
        <v>1</v>
      </c>
      <c r="T53" s="2">
        <v>0</v>
      </c>
      <c r="U53" s="2">
        <v>0</v>
      </c>
      <c r="V53" s="68">
        <v>1</v>
      </c>
      <c r="W53" s="4"/>
      <c r="X53" s="2">
        <v>0</v>
      </c>
      <c r="Y53" s="68">
        <v>1</v>
      </c>
    </row>
    <row r="54" spans="1:30" x14ac:dyDescent="0.25">
      <c r="A54" s="2" t="s">
        <v>238</v>
      </c>
      <c r="B54" s="2">
        <v>1</v>
      </c>
      <c r="C54" s="2">
        <v>1</v>
      </c>
      <c r="D54" s="68">
        <v>0</v>
      </c>
      <c r="E54" s="2">
        <v>1</v>
      </c>
      <c r="F54" s="2">
        <v>1</v>
      </c>
      <c r="G54" s="68">
        <v>0</v>
      </c>
      <c r="H54" s="2">
        <v>0</v>
      </c>
      <c r="I54" s="2">
        <v>0</v>
      </c>
      <c r="J54" s="68">
        <v>1</v>
      </c>
      <c r="K54" s="2">
        <v>1</v>
      </c>
      <c r="L54" s="2">
        <v>1</v>
      </c>
      <c r="M54" s="68">
        <v>0</v>
      </c>
      <c r="N54" s="2">
        <v>0</v>
      </c>
      <c r="O54" s="2">
        <v>0</v>
      </c>
      <c r="P54" s="68">
        <v>1</v>
      </c>
      <c r="Q54" s="2">
        <v>0</v>
      </c>
      <c r="R54" s="2">
        <v>0</v>
      </c>
      <c r="S54" s="68">
        <v>1</v>
      </c>
      <c r="T54" s="2">
        <v>0</v>
      </c>
      <c r="U54" s="2">
        <v>1</v>
      </c>
      <c r="V54" s="68">
        <v>0</v>
      </c>
      <c r="W54" s="4"/>
      <c r="X54" s="2">
        <v>0</v>
      </c>
      <c r="Y54" s="68">
        <v>1</v>
      </c>
      <c r="AA54" s="1" t="s">
        <v>274</v>
      </c>
      <c r="AD54" s="19"/>
    </row>
    <row r="55" spans="1:30" x14ac:dyDescent="0.25">
      <c r="A55" s="2" t="s">
        <v>238</v>
      </c>
      <c r="B55" s="2">
        <v>1</v>
      </c>
      <c r="C55" s="2">
        <v>0</v>
      </c>
      <c r="D55" s="68">
        <v>0</v>
      </c>
      <c r="E55" s="2">
        <v>1</v>
      </c>
      <c r="F55" s="2">
        <v>0</v>
      </c>
      <c r="G55" s="68">
        <v>0</v>
      </c>
      <c r="H55" s="2">
        <v>1</v>
      </c>
      <c r="I55" s="2">
        <v>0</v>
      </c>
      <c r="J55" s="68">
        <v>0</v>
      </c>
      <c r="K55" s="2">
        <v>1</v>
      </c>
      <c r="L55" s="2">
        <v>0</v>
      </c>
      <c r="M55" s="68">
        <v>0</v>
      </c>
      <c r="N55" s="2">
        <v>0</v>
      </c>
      <c r="O55" s="2">
        <v>0</v>
      </c>
      <c r="P55" s="68">
        <v>1</v>
      </c>
      <c r="Q55" s="2">
        <v>0</v>
      </c>
      <c r="R55" s="2">
        <v>0</v>
      </c>
      <c r="S55" s="68">
        <v>1</v>
      </c>
      <c r="T55" s="2">
        <v>0</v>
      </c>
      <c r="U55" s="2">
        <v>0</v>
      </c>
      <c r="V55" s="68">
        <v>1</v>
      </c>
      <c r="W55" s="4"/>
      <c r="X55" s="2">
        <v>0</v>
      </c>
      <c r="Y55" s="68">
        <v>1</v>
      </c>
      <c r="AA55" s="43"/>
      <c r="AB55" s="43" t="s">
        <v>558</v>
      </c>
      <c r="AC55" s="43" t="s">
        <v>557</v>
      </c>
      <c r="AD55" s="43" t="s">
        <v>556</v>
      </c>
    </row>
    <row r="56" spans="1:30" x14ac:dyDescent="0.25">
      <c r="A56" s="2" t="s">
        <v>238</v>
      </c>
      <c r="B56" s="2">
        <v>1</v>
      </c>
      <c r="C56" s="2">
        <v>0</v>
      </c>
      <c r="D56" s="68">
        <v>0</v>
      </c>
      <c r="E56" s="2">
        <v>1</v>
      </c>
      <c r="F56" s="2">
        <v>1</v>
      </c>
      <c r="G56" s="68">
        <v>0</v>
      </c>
      <c r="H56" s="2">
        <v>1</v>
      </c>
      <c r="I56" s="2">
        <v>0</v>
      </c>
      <c r="J56" s="68">
        <v>0</v>
      </c>
      <c r="K56" s="2">
        <v>1</v>
      </c>
      <c r="L56" s="2">
        <v>0</v>
      </c>
      <c r="M56" s="68">
        <v>0</v>
      </c>
      <c r="N56" s="2">
        <v>0</v>
      </c>
      <c r="O56" s="2">
        <v>0</v>
      </c>
      <c r="P56" s="68">
        <v>1</v>
      </c>
      <c r="Q56" s="2">
        <v>0</v>
      </c>
      <c r="R56" s="2">
        <v>0</v>
      </c>
      <c r="S56" s="68">
        <v>1</v>
      </c>
      <c r="T56" s="2">
        <v>0</v>
      </c>
      <c r="U56" s="2">
        <v>0</v>
      </c>
      <c r="V56" s="68">
        <v>1</v>
      </c>
      <c r="W56" s="4"/>
      <c r="X56" s="2">
        <v>0</v>
      </c>
      <c r="Y56" s="68">
        <v>1</v>
      </c>
      <c r="AA56" s="8" t="s">
        <v>543</v>
      </c>
      <c r="AB56" s="63">
        <f>1/3</f>
        <v>0.33333333333333331</v>
      </c>
      <c r="AC56" s="63">
        <f>2/3</f>
        <v>0.66666666666666663</v>
      </c>
      <c r="AD56" s="69"/>
    </row>
    <row r="57" spans="1:30" x14ac:dyDescent="0.25">
      <c r="A57" s="2" t="s">
        <v>238</v>
      </c>
      <c r="B57" s="2">
        <v>1</v>
      </c>
      <c r="C57" s="2">
        <v>0</v>
      </c>
      <c r="D57" s="68">
        <v>0</v>
      </c>
      <c r="E57" s="2">
        <v>1</v>
      </c>
      <c r="F57" s="2">
        <v>1</v>
      </c>
      <c r="G57" s="68">
        <v>0</v>
      </c>
      <c r="H57" s="2">
        <v>1</v>
      </c>
      <c r="I57" s="2">
        <v>0</v>
      </c>
      <c r="J57" s="68">
        <v>0</v>
      </c>
      <c r="K57" s="2">
        <v>1</v>
      </c>
      <c r="L57" s="2">
        <v>0</v>
      </c>
      <c r="M57" s="68">
        <v>0</v>
      </c>
      <c r="N57" s="2">
        <v>0</v>
      </c>
      <c r="O57" s="2">
        <v>0</v>
      </c>
      <c r="P57" s="68">
        <v>1</v>
      </c>
      <c r="Q57" s="2">
        <v>0</v>
      </c>
      <c r="R57" s="2">
        <v>0</v>
      </c>
      <c r="S57" s="68">
        <v>1</v>
      </c>
      <c r="T57" s="2">
        <v>0</v>
      </c>
      <c r="U57" s="2">
        <v>0</v>
      </c>
      <c r="V57" s="68">
        <v>1</v>
      </c>
      <c r="W57" s="4"/>
      <c r="X57" s="2">
        <v>0</v>
      </c>
      <c r="Y57" s="68">
        <v>1</v>
      </c>
      <c r="AA57" s="8" t="s">
        <v>540</v>
      </c>
      <c r="AB57" s="63">
        <f>3/3</f>
        <v>1</v>
      </c>
      <c r="AC57" s="63">
        <v>0</v>
      </c>
      <c r="AD57" s="63">
        <v>0</v>
      </c>
    </row>
    <row r="58" spans="1:30" x14ac:dyDescent="0.25">
      <c r="A58" s="2" t="s">
        <v>238</v>
      </c>
      <c r="B58" s="2">
        <v>1</v>
      </c>
      <c r="C58" s="2">
        <v>0</v>
      </c>
      <c r="D58" s="68">
        <v>0</v>
      </c>
      <c r="E58" s="2">
        <v>1</v>
      </c>
      <c r="F58" s="2">
        <v>1</v>
      </c>
      <c r="G58" s="68">
        <v>0</v>
      </c>
      <c r="H58" s="2">
        <v>1</v>
      </c>
      <c r="I58" s="2">
        <v>0</v>
      </c>
      <c r="J58" s="68">
        <v>0</v>
      </c>
      <c r="K58" s="2">
        <v>1</v>
      </c>
      <c r="L58" s="2">
        <v>1</v>
      </c>
      <c r="M58" s="68">
        <v>0</v>
      </c>
      <c r="N58" s="2">
        <v>0</v>
      </c>
      <c r="O58" s="2">
        <v>0</v>
      </c>
      <c r="P58" s="68">
        <v>1</v>
      </c>
      <c r="Q58" s="2">
        <v>0</v>
      </c>
      <c r="R58" s="2">
        <v>0</v>
      </c>
      <c r="S58" s="68">
        <v>1</v>
      </c>
      <c r="T58" s="2">
        <v>0</v>
      </c>
      <c r="U58" s="2">
        <v>0</v>
      </c>
      <c r="V58" s="68">
        <v>1</v>
      </c>
      <c r="W58" s="4"/>
      <c r="X58" s="2">
        <v>0</v>
      </c>
      <c r="Y58" s="68">
        <v>1</v>
      </c>
      <c r="AA58" s="8" t="s">
        <v>541</v>
      </c>
      <c r="AB58" s="63">
        <f>3/4</f>
        <v>0.75</v>
      </c>
      <c r="AC58" s="63">
        <v>0</v>
      </c>
      <c r="AD58" s="63">
        <f>1/4</f>
        <v>0.25</v>
      </c>
    </row>
    <row r="59" spans="1:30" x14ac:dyDescent="0.25">
      <c r="A59" s="2" t="s">
        <v>238</v>
      </c>
      <c r="B59" s="2">
        <v>1</v>
      </c>
      <c r="C59" s="2">
        <v>0</v>
      </c>
      <c r="D59" s="68">
        <v>0</v>
      </c>
      <c r="E59" s="2">
        <v>1</v>
      </c>
      <c r="F59" s="2">
        <v>0</v>
      </c>
      <c r="G59" s="68">
        <v>0</v>
      </c>
      <c r="H59" s="2">
        <v>0</v>
      </c>
      <c r="I59" s="2">
        <v>0</v>
      </c>
      <c r="J59" s="68">
        <v>1</v>
      </c>
      <c r="K59" s="2">
        <v>1</v>
      </c>
      <c r="L59" s="2">
        <v>0</v>
      </c>
      <c r="M59" s="68">
        <v>0</v>
      </c>
      <c r="N59" s="2">
        <v>1</v>
      </c>
      <c r="O59" s="2">
        <v>0</v>
      </c>
      <c r="P59" s="68">
        <v>0</v>
      </c>
      <c r="Q59" s="2">
        <v>0</v>
      </c>
      <c r="R59" s="2">
        <v>0</v>
      </c>
      <c r="S59" s="68">
        <v>1</v>
      </c>
      <c r="T59" s="2">
        <v>0</v>
      </c>
      <c r="U59" s="2">
        <v>0</v>
      </c>
      <c r="V59" s="68">
        <v>1</v>
      </c>
      <c r="W59" s="4"/>
      <c r="X59" s="2">
        <v>0</v>
      </c>
      <c r="Y59" s="68">
        <v>1</v>
      </c>
      <c r="AA59" s="8" t="s">
        <v>542</v>
      </c>
      <c r="AB59" s="63">
        <f>1/3</f>
        <v>0.33333333333333331</v>
      </c>
      <c r="AC59" s="63">
        <f>2/3</f>
        <v>0.66666666666666663</v>
      </c>
      <c r="AD59" s="63">
        <f>2/3</f>
        <v>0.66666666666666663</v>
      </c>
    </row>
    <row r="60" spans="1:30" x14ac:dyDescent="0.25">
      <c r="A60" s="2" t="s">
        <v>238</v>
      </c>
      <c r="B60" s="2">
        <v>1</v>
      </c>
      <c r="C60" s="2">
        <v>1</v>
      </c>
      <c r="D60" s="68">
        <v>0</v>
      </c>
      <c r="E60" s="2">
        <v>1</v>
      </c>
      <c r="F60" s="2">
        <v>1</v>
      </c>
      <c r="G60" s="68">
        <v>0</v>
      </c>
      <c r="H60" s="2">
        <v>1</v>
      </c>
      <c r="I60" s="2">
        <v>1</v>
      </c>
      <c r="J60" s="68">
        <v>0</v>
      </c>
      <c r="K60" s="2">
        <v>1</v>
      </c>
      <c r="L60" s="2">
        <v>1</v>
      </c>
      <c r="M60" s="68">
        <v>0</v>
      </c>
      <c r="N60" s="2">
        <v>1</v>
      </c>
      <c r="O60" s="2">
        <v>0</v>
      </c>
      <c r="P60" s="68">
        <v>0</v>
      </c>
      <c r="Q60" s="2">
        <v>0</v>
      </c>
      <c r="R60" s="2">
        <v>0</v>
      </c>
      <c r="S60" s="68">
        <v>1</v>
      </c>
      <c r="T60" s="2">
        <v>0</v>
      </c>
      <c r="U60" s="2">
        <v>0</v>
      </c>
      <c r="V60" s="68">
        <v>1</v>
      </c>
      <c r="W60" s="4"/>
      <c r="X60" s="2">
        <v>0</v>
      </c>
      <c r="Y60" s="68">
        <v>1</v>
      </c>
      <c r="AA60" s="8" t="s">
        <v>539</v>
      </c>
      <c r="AB60" s="63">
        <f>2/4</f>
        <v>0.5</v>
      </c>
      <c r="AC60" s="63">
        <f>2/4</f>
        <v>0.5</v>
      </c>
      <c r="AD60" s="63">
        <f>2/4</f>
        <v>0.5</v>
      </c>
    </row>
    <row r="61" spans="1:30" x14ac:dyDescent="0.25">
      <c r="A61" s="2" t="s">
        <v>238</v>
      </c>
      <c r="B61" s="2">
        <v>0</v>
      </c>
      <c r="C61" s="2">
        <v>0</v>
      </c>
      <c r="D61" s="68">
        <v>1</v>
      </c>
      <c r="E61" s="2">
        <v>1</v>
      </c>
      <c r="F61" s="2">
        <v>0</v>
      </c>
      <c r="G61" s="68">
        <v>0</v>
      </c>
      <c r="H61" s="2">
        <v>0</v>
      </c>
      <c r="I61" s="2">
        <v>0</v>
      </c>
      <c r="J61" s="68">
        <v>1</v>
      </c>
      <c r="K61" s="2">
        <v>0</v>
      </c>
      <c r="L61" s="2">
        <v>0</v>
      </c>
      <c r="M61" s="68">
        <v>1</v>
      </c>
      <c r="N61" s="2">
        <v>0</v>
      </c>
      <c r="O61" s="2">
        <v>0</v>
      </c>
      <c r="P61" s="68">
        <v>1</v>
      </c>
      <c r="Q61" s="2">
        <v>1</v>
      </c>
      <c r="R61" s="2">
        <v>0</v>
      </c>
      <c r="S61" s="68">
        <v>0</v>
      </c>
      <c r="T61" s="2">
        <v>0</v>
      </c>
      <c r="U61" s="2">
        <v>0</v>
      </c>
      <c r="V61" s="68">
        <v>1</v>
      </c>
      <c r="W61" s="4"/>
      <c r="X61" s="2">
        <v>0</v>
      </c>
      <c r="Y61" s="68">
        <v>1</v>
      </c>
      <c r="AA61" s="8" t="s">
        <v>538</v>
      </c>
      <c r="AB61" s="63">
        <v>0</v>
      </c>
      <c r="AC61" s="63">
        <f>3/3</f>
        <v>1</v>
      </c>
      <c r="AD61" s="63">
        <f>3/3</f>
        <v>1</v>
      </c>
    </row>
    <row r="62" spans="1:30" x14ac:dyDescent="0.25">
      <c r="A62" s="2" t="s">
        <v>238</v>
      </c>
      <c r="B62" s="2">
        <v>0</v>
      </c>
      <c r="C62" s="2">
        <v>0</v>
      </c>
      <c r="D62" s="68">
        <v>1</v>
      </c>
      <c r="E62" s="2">
        <v>1</v>
      </c>
      <c r="F62" s="2">
        <v>0</v>
      </c>
      <c r="G62" s="68">
        <v>0</v>
      </c>
      <c r="H62" s="2">
        <v>0</v>
      </c>
      <c r="I62" s="2">
        <v>0</v>
      </c>
      <c r="J62" s="68">
        <v>1</v>
      </c>
      <c r="K62" s="2">
        <v>0</v>
      </c>
      <c r="L62" s="2">
        <v>0</v>
      </c>
      <c r="M62" s="68">
        <v>1</v>
      </c>
      <c r="N62" s="2">
        <v>0</v>
      </c>
      <c r="O62" s="2">
        <v>0</v>
      </c>
      <c r="P62" s="68">
        <v>1</v>
      </c>
      <c r="Q62" s="2">
        <v>1</v>
      </c>
      <c r="R62" s="2">
        <v>0</v>
      </c>
      <c r="S62" s="68">
        <v>0</v>
      </c>
      <c r="T62" s="2">
        <v>0</v>
      </c>
      <c r="U62" s="2">
        <v>0</v>
      </c>
      <c r="V62" s="68">
        <v>1</v>
      </c>
      <c r="W62" s="4"/>
      <c r="X62" s="2">
        <v>0</v>
      </c>
      <c r="Y62" s="68">
        <v>1</v>
      </c>
      <c r="AA62" s="8" t="s">
        <v>536</v>
      </c>
      <c r="AB62" s="63">
        <v>0</v>
      </c>
      <c r="AC62" s="63">
        <f>4/5</f>
        <v>0.8</v>
      </c>
      <c r="AD62" s="63">
        <f>35/35</f>
        <v>1</v>
      </c>
    </row>
    <row r="63" spans="1:30" x14ac:dyDescent="0.25">
      <c r="A63" s="2" t="s">
        <v>238</v>
      </c>
      <c r="B63" s="2">
        <v>1</v>
      </c>
      <c r="C63" s="2">
        <v>0</v>
      </c>
      <c r="D63" s="68">
        <v>0</v>
      </c>
      <c r="E63" s="2">
        <v>0</v>
      </c>
      <c r="F63" s="2">
        <v>0</v>
      </c>
      <c r="G63" s="68">
        <v>1</v>
      </c>
      <c r="H63" s="2">
        <v>1</v>
      </c>
      <c r="I63" s="2">
        <v>0</v>
      </c>
      <c r="J63" s="68">
        <v>0</v>
      </c>
      <c r="K63" s="2">
        <v>0</v>
      </c>
      <c r="L63" s="2">
        <v>0</v>
      </c>
      <c r="M63" s="68">
        <v>1</v>
      </c>
      <c r="N63" s="2">
        <v>0</v>
      </c>
      <c r="O63" s="2">
        <v>0</v>
      </c>
      <c r="P63" s="68">
        <v>1</v>
      </c>
      <c r="Q63" s="2">
        <v>1</v>
      </c>
      <c r="R63" s="2">
        <v>1</v>
      </c>
      <c r="S63" s="68">
        <v>0</v>
      </c>
      <c r="T63" s="2">
        <v>0</v>
      </c>
      <c r="U63" s="2">
        <v>1</v>
      </c>
      <c r="V63" s="68">
        <v>0</v>
      </c>
      <c r="W63" s="4"/>
      <c r="X63" s="2">
        <v>0</v>
      </c>
      <c r="Y63" s="68">
        <v>1</v>
      </c>
      <c r="AA63" s="8" t="s">
        <v>537</v>
      </c>
      <c r="AB63" s="63">
        <v>0</v>
      </c>
      <c r="AC63" s="63">
        <f>4/5</f>
        <v>0.8</v>
      </c>
      <c r="AD63" s="63">
        <f>35/35</f>
        <v>1</v>
      </c>
    </row>
    <row r="64" spans="1:30" x14ac:dyDescent="0.25">
      <c r="A64" s="2" t="s">
        <v>238</v>
      </c>
      <c r="B64" s="2">
        <v>1</v>
      </c>
      <c r="C64" s="2">
        <v>0</v>
      </c>
      <c r="D64" s="68">
        <v>0</v>
      </c>
      <c r="E64" s="2">
        <v>1</v>
      </c>
      <c r="F64" s="2">
        <v>0</v>
      </c>
      <c r="G64" s="68">
        <v>0</v>
      </c>
      <c r="H64" s="2">
        <v>1</v>
      </c>
      <c r="I64" s="2">
        <v>0</v>
      </c>
      <c r="J64" s="68">
        <v>0</v>
      </c>
      <c r="K64" s="2">
        <v>0</v>
      </c>
      <c r="L64" s="2">
        <v>0</v>
      </c>
      <c r="M64" s="68">
        <v>1</v>
      </c>
      <c r="N64" s="2">
        <v>0</v>
      </c>
      <c r="O64" s="2">
        <v>0</v>
      </c>
      <c r="P64" s="68">
        <v>1</v>
      </c>
      <c r="Q64" s="2">
        <v>1</v>
      </c>
      <c r="R64" s="2">
        <v>0</v>
      </c>
      <c r="S64" s="68">
        <v>0</v>
      </c>
      <c r="T64" s="2">
        <v>0</v>
      </c>
      <c r="U64" s="2">
        <v>0</v>
      </c>
      <c r="V64" s="68">
        <v>1</v>
      </c>
      <c r="W64" s="4"/>
      <c r="X64" s="2">
        <v>0</v>
      </c>
      <c r="Y64" s="68">
        <v>1</v>
      </c>
    </row>
    <row r="65" spans="1:30" x14ac:dyDescent="0.25">
      <c r="A65" s="2" t="s">
        <v>238</v>
      </c>
      <c r="B65" s="2">
        <v>1</v>
      </c>
      <c r="C65" s="2">
        <v>0</v>
      </c>
      <c r="D65" s="68">
        <v>0</v>
      </c>
      <c r="E65" s="2">
        <v>0</v>
      </c>
      <c r="F65" s="2">
        <v>1</v>
      </c>
      <c r="G65" s="68">
        <v>0</v>
      </c>
      <c r="H65" s="2">
        <v>0</v>
      </c>
      <c r="I65" s="2">
        <v>0</v>
      </c>
      <c r="J65" s="68">
        <v>1</v>
      </c>
      <c r="K65" s="2">
        <v>1</v>
      </c>
      <c r="L65" s="2">
        <v>0</v>
      </c>
      <c r="M65" s="68">
        <v>0</v>
      </c>
      <c r="N65" s="2">
        <v>0</v>
      </c>
      <c r="O65" s="2">
        <v>0</v>
      </c>
      <c r="P65" s="68">
        <v>1</v>
      </c>
      <c r="Q65" s="2">
        <v>1</v>
      </c>
      <c r="R65" s="2">
        <v>0</v>
      </c>
      <c r="S65" s="68">
        <v>0</v>
      </c>
      <c r="T65" s="2">
        <v>0</v>
      </c>
      <c r="U65" s="2">
        <v>0</v>
      </c>
      <c r="V65" s="68">
        <v>1</v>
      </c>
      <c r="W65" s="4"/>
      <c r="X65" s="2">
        <v>0</v>
      </c>
      <c r="Y65" s="68">
        <v>1</v>
      </c>
      <c r="AA65" s="1" t="s">
        <v>561</v>
      </c>
      <c r="AD65" s="19"/>
    </row>
    <row r="66" spans="1:30" x14ac:dyDescent="0.25">
      <c r="A66" s="2" t="s">
        <v>238</v>
      </c>
      <c r="B66" s="2">
        <v>1</v>
      </c>
      <c r="C66" s="2">
        <v>0</v>
      </c>
      <c r="D66" s="68">
        <v>0</v>
      </c>
      <c r="E66" s="2">
        <v>1</v>
      </c>
      <c r="F66" s="2">
        <v>0</v>
      </c>
      <c r="G66" s="68">
        <v>0</v>
      </c>
      <c r="H66" s="2">
        <v>0</v>
      </c>
      <c r="I66" s="2">
        <v>0</v>
      </c>
      <c r="J66" s="68">
        <v>1</v>
      </c>
      <c r="K66" s="2">
        <v>1</v>
      </c>
      <c r="L66" s="2">
        <v>0</v>
      </c>
      <c r="M66" s="68">
        <v>0</v>
      </c>
      <c r="N66" s="2">
        <v>0</v>
      </c>
      <c r="O66" s="2">
        <v>0</v>
      </c>
      <c r="P66" s="68">
        <v>1</v>
      </c>
      <c r="Q66" s="2">
        <v>1</v>
      </c>
      <c r="R66" s="2">
        <v>0</v>
      </c>
      <c r="S66" s="68">
        <v>0</v>
      </c>
      <c r="T66" s="2">
        <v>0</v>
      </c>
      <c r="U66" s="2">
        <v>0</v>
      </c>
      <c r="V66" s="68">
        <v>1</v>
      </c>
      <c r="W66" s="4"/>
      <c r="X66" s="2">
        <v>0</v>
      </c>
      <c r="Y66" s="68">
        <v>1</v>
      </c>
      <c r="AA66" s="43"/>
      <c r="AB66" s="43" t="s">
        <v>558</v>
      </c>
      <c r="AC66" s="43" t="s">
        <v>557</v>
      </c>
      <c r="AD66" s="43" t="s">
        <v>556</v>
      </c>
    </row>
    <row r="67" spans="1:30" x14ac:dyDescent="0.25">
      <c r="A67" s="2" t="s">
        <v>238</v>
      </c>
      <c r="B67" s="2">
        <v>1</v>
      </c>
      <c r="C67" s="2">
        <v>0</v>
      </c>
      <c r="D67" s="68">
        <v>0</v>
      </c>
      <c r="E67" s="2">
        <v>1</v>
      </c>
      <c r="F67" s="2">
        <v>0</v>
      </c>
      <c r="G67" s="68">
        <v>0</v>
      </c>
      <c r="H67" s="2">
        <v>1</v>
      </c>
      <c r="I67" s="2">
        <v>0</v>
      </c>
      <c r="J67" s="68">
        <v>0</v>
      </c>
      <c r="K67" s="2">
        <v>1</v>
      </c>
      <c r="L67" s="2">
        <v>0</v>
      </c>
      <c r="M67" s="68">
        <v>0</v>
      </c>
      <c r="N67" s="2">
        <v>0</v>
      </c>
      <c r="O67" s="2">
        <v>0</v>
      </c>
      <c r="P67" s="68">
        <v>1</v>
      </c>
      <c r="Q67" s="2">
        <v>1</v>
      </c>
      <c r="R67" s="2">
        <v>0</v>
      </c>
      <c r="S67" s="68">
        <v>0</v>
      </c>
      <c r="T67" s="2">
        <v>0</v>
      </c>
      <c r="U67" s="2">
        <v>1</v>
      </c>
      <c r="V67" s="68">
        <v>0</v>
      </c>
      <c r="W67" s="4"/>
      <c r="X67" s="2">
        <v>0</v>
      </c>
      <c r="Y67" s="68">
        <v>1</v>
      </c>
      <c r="AA67" s="8" t="s">
        <v>543</v>
      </c>
      <c r="AB67" s="63">
        <f>51/71</f>
        <v>0.71830985915492962</v>
      </c>
      <c r="AC67" s="63">
        <f>20/71</f>
        <v>0.28169014084507044</v>
      </c>
      <c r="AD67" s="69"/>
    </row>
    <row r="68" spans="1:30" x14ac:dyDescent="0.25">
      <c r="A68" s="2" t="s">
        <v>238</v>
      </c>
      <c r="B68" s="2">
        <v>1</v>
      </c>
      <c r="C68" s="2">
        <v>0</v>
      </c>
      <c r="D68" s="68">
        <v>0</v>
      </c>
      <c r="E68" s="2">
        <v>1</v>
      </c>
      <c r="F68" s="2">
        <v>0</v>
      </c>
      <c r="G68" s="68">
        <v>0</v>
      </c>
      <c r="H68" s="2">
        <v>1</v>
      </c>
      <c r="I68" s="2">
        <v>0</v>
      </c>
      <c r="J68" s="68">
        <v>0</v>
      </c>
      <c r="K68" s="2">
        <v>1</v>
      </c>
      <c r="L68" s="2">
        <v>0</v>
      </c>
      <c r="M68" s="68">
        <v>0</v>
      </c>
      <c r="N68" s="2">
        <v>0</v>
      </c>
      <c r="O68" s="2">
        <v>0</v>
      </c>
      <c r="P68" s="68">
        <v>1</v>
      </c>
      <c r="Q68" s="2">
        <v>1</v>
      </c>
      <c r="R68" s="2">
        <v>0</v>
      </c>
      <c r="S68" s="68">
        <v>0</v>
      </c>
      <c r="T68" s="2">
        <v>0</v>
      </c>
      <c r="U68" s="2">
        <v>0</v>
      </c>
      <c r="V68" s="68">
        <v>1</v>
      </c>
      <c r="W68" s="4"/>
      <c r="X68" s="2">
        <v>0</v>
      </c>
      <c r="Y68" s="68">
        <v>1</v>
      </c>
      <c r="AA68" s="8" t="s">
        <v>540</v>
      </c>
      <c r="AB68" s="63">
        <f>51/70</f>
        <v>0.72857142857142854</v>
      </c>
      <c r="AC68" s="63">
        <f>8/70</f>
        <v>0.11428571428571428</v>
      </c>
      <c r="AD68" s="63">
        <f>18/70</f>
        <v>0.25714285714285712</v>
      </c>
    </row>
    <row r="69" spans="1:30" x14ac:dyDescent="0.25">
      <c r="A69" s="2" t="s">
        <v>238</v>
      </c>
      <c r="B69" s="2">
        <v>1</v>
      </c>
      <c r="C69" s="2">
        <v>0</v>
      </c>
      <c r="D69" s="68">
        <v>0</v>
      </c>
      <c r="E69" s="2">
        <v>1</v>
      </c>
      <c r="F69" s="2">
        <v>0</v>
      </c>
      <c r="G69" s="68">
        <v>0</v>
      </c>
      <c r="H69" s="2">
        <v>1</v>
      </c>
      <c r="I69" s="2">
        <v>0</v>
      </c>
      <c r="J69" s="68">
        <v>0</v>
      </c>
      <c r="K69" s="2">
        <v>1</v>
      </c>
      <c r="L69" s="2">
        <v>1</v>
      </c>
      <c r="M69" s="68">
        <v>0</v>
      </c>
      <c r="N69" s="2">
        <v>1</v>
      </c>
      <c r="O69" s="2">
        <v>0</v>
      </c>
      <c r="P69" s="68">
        <v>0</v>
      </c>
      <c r="Q69" s="2">
        <v>1</v>
      </c>
      <c r="R69" s="2">
        <v>0</v>
      </c>
      <c r="S69" s="68">
        <v>0</v>
      </c>
      <c r="T69" s="2">
        <v>0</v>
      </c>
      <c r="U69" s="2">
        <v>0</v>
      </c>
      <c r="V69" s="68">
        <v>1</v>
      </c>
      <c r="W69" s="4"/>
      <c r="X69" s="2">
        <v>0</v>
      </c>
      <c r="Y69" s="68">
        <v>1</v>
      </c>
      <c r="AA69" s="8" t="s">
        <v>541</v>
      </c>
      <c r="AB69" s="63">
        <f>40/70</f>
        <v>0.5714285714285714</v>
      </c>
      <c r="AC69" s="63">
        <f>9/70</f>
        <v>0.12857142857142856</v>
      </c>
      <c r="AD69" s="63">
        <f>30/70</f>
        <v>0.42857142857142855</v>
      </c>
    </row>
    <row r="70" spans="1:30" x14ac:dyDescent="0.25">
      <c r="A70" s="2" t="s">
        <v>238</v>
      </c>
      <c r="B70" s="2">
        <v>1</v>
      </c>
      <c r="C70" s="2">
        <v>0</v>
      </c>
      <c r="D70" s="68">
        <v>0</v>
      </c>
      <c r="E70" s="2">
        <v>1</v>
      </c>
      <c r="F70" s="2">
        <v>0</v>
      </c>
      <c r="G70" s="68">
        <v>0</v>
      </c>
      <c r="H70" s="2">
        <v>1</v>
      </c>
      <c r="I70" s="2">
        <v>0</v>
      </c>
      <c r="J70" s="68">
        <v>0</v>
      </c>
      <c r="K70" s="2">
        <v>0</v>
      </c>
      <c r="L70" s="2">
        <v>0</v>
      </c>
      <c r="M70" s="68">
        <v>1</v>
      </c>
      <c r="N70" s="2"/>
      <c r="O70" s="2"/>
      <c r="P70" s="68"/>
      <c r="Q70" s="2">
        <v>1</v>
      </c>
      <c r="R70" s="2">
        <v>0</v>
      </c>
      <c r="S70" s="68">
        <v>0</v>
      </c>
      <c r="T70" s="2">
        <v>0</v>
      </c>
      <c r="U70" s="2">
        <v>0</v>
      </c>
      <c r="V70" s="68">
        <v>1</v>
      </c>
      <c r="W70" s="4"/>
      <c r="X70" s="2">
        <v>0</v>
      </c>
      <c r="Y70" s="68">
        <v>1</v>
      </c>
      <c r="AA70" s="8" t="s">
        <v>542</v>
      </c>
      <c r="AB70" s="63">
        <f>25/75</f>
        <v>0.33333333333333331</v>
      </c>
      <c r="AC70" s="63">
        <f>34/75</f>
        <v>0.45333333333333331</v>
      </c>
      <c r="AD70" s="63">
        <f>45/75</f>
        <v>0.6</v>
      </c>
    </row>
    <row r="71" spans="1:30" x14ac:dyDescent="0.25">
      <c r="A71" s="2" t="s">
        <v>238</v>
      </c>
      <c r="B71" s="2">
        <v>1</v>
      </c>
      <c r="C71" s="2">
        <v>0</v>
      </c>
      <c r="D71" s="68">
        <v>0</v>
      </c>
      <c r="E71" s="2">
        <v>0</v>
      </c>
      <c r="F71" s="2">
        <v>0</v>
      </c>
      <c r="G71" s="68">
        <v>1</v>
      </c>
      <c r="H71" s="2">
        <v>0</v>
      </c>
      <c r="I71" s="2">
        <v>0</v>
      </c>
      <c r="J71" s="68">
        <v>1</v>
      </c>
      <c r="K71" s="2">
        <v>0</v>
      </c>
      <c r="L71" s="2">
        <v>0</v>
      </c>
      <c r="M71" s="68">
        <v>1</v>
      </c>
      <c r="N71" s="2">
        <v>0</v>
      </c>
      <c r="O71" s="2">
        <v>0</v>
      </c>
      <c r="P71" s="68">
        <v>1</v>
      </c>
      <c r="Q71" s="2"/>
      <c r="R71" s="2"/>
      <c r="S71" s="68"/>
      <c r="T71" s="2">
        <v>0</v>
      </c>
      <c r="U71" s="2">
        <v>0</v>
      </c>
      <c r="V71" s="68">
        <v>1</v>
      </c>
      <c r="W71" s="4"/>
      <c r="X71" s="2">
        <v>0</v>
      </c>
      <c r="Y71" s="68">
        <v>1</v>
      </c>
      <c r="AA71" s="8" t="s">
        <v>539</v>
      </c>
      <c r="AB71" s="63">
        <f>15/80</f>
        <v>0.1875</v>
      </c>
      <c r="AC71" s="63">
        <f>15/80</f>
        <v>0.1875</v>
      </c>
      <c r="AD71" s="63">
        <f>63/80</f>
        <v>0.78749999999999998</v>
      </c>
    </row>
    <row r="72" spans="1:30" x14ac:dyDescent="0.25">
      <c r="A72" s="2" t="s">
        <v>238</v>
      </c>
      <c r="B72" s="2">
        <v>1</v>
      </c>
      <c r="C72" s="2">
        <v>0</v>
      </c>
      <c r="D72" s="68">
        <v>0</v>
      </c>
      <c r="E72" s="2">
        <v>1</v>
      </c>
      <c r="F72" s="2">
        <v>0</v>
      </c>
      <c r="G72" s="68">
        <v>0</v>
      </c>
      <c r="H72" s="2">
        <v>1</v>
      </c>
      <c r="I72" s="2">
        <v>1</v>
      </c>
      <c r="J72" s="68">
        <v>0</v>
      </c>
      <c r="K72" s="2">
        <v>1</v>
      </c>
      <c r="L72" s="2">
        <v>0</v>
      </c>
      <c r="M72" s="68">
        <v>0</v>
      </c>
      <c r="N72" s="2">
        <v>0</v>
      </c>
      <c r="O72" s="2">
        <v>0</v>
      </c>
      <c r="P72" s="68">
        <v>1</v>
      </c>
      <c r="Q72" s="2"/>
      <c r="R72" s="2"/>
      <c r="S72" s="68"/>
      <c r="T72" s="2">
        <v>0</v>
      </c>
      <c r="U72" s="2">
        <v>0</v>
      </c>
      <c r="V72" s="68">
        <v>1</v>
      </c>
      <c r="W72" s="4"/>
      <c r="X72" s="2">
        <v>0</v>
      </c>
      <c r="Y72" s="68">
        <v>1</v>
      </c>
      <c r="AA72" s="8" t="s">
        <v>538</v>
      </c>
      <c r="AB72" s="63">
        <f>19/74</f>
        <v>0.25675675675675674</v>
      </c>
      <c r="AC72" s="63">
        <f>21/74</f>
        <v>0.28378378378378377</v>
      </c>
      <c r="AD72" s="63">
        <f>54/74</f>
        <v>0.72972972972972971</v>
      </c>
    </row>
    <row r="73" spans="1:30" x14ac:dyDescent="0.25">
      <c r="A73" s="2" t="s">
        <v>238</v>
      </c>
      <c r="B73" s="2">
        <v>1</v>
      </c>
      <c r="C73" s="2">
        <v>1</v>
      </c>
      <c r="D73" s="68">
        <v>0</v>
      </c>
      <c r="E73" s="2">
        <v>1</v>
      </c>
      <c r="F73" s="2">
        <v>1</v>
      </c>
      <c r="G73" s="68">
        <v>0</v>
      </c>
      <c r="H73" s="2">
        <v>0</v>
      </c>
      <c r="I73" s="2">
        <v>0</v>
      </c>
      <c r="J73" s="68">
        <v>1</v>
      </c>
      <c r="K73" s="2">
        <v>0</v>
      </c>
      <c r="L73" s="2">
        <v>0</v>
      </c>
      <c r="M73" s="68">
        <v>1</v>
      </c>
      <c r="N73" s="2">
        <v>0</v>
      </c>
      <c r="O73" s="2">
        <v>0</v>
      </c>
      <c r="P73" s="68">
        <v>1</v>
      </c>
      <c r="Q73" s="2">
        <v>0</v>
      </c>
      <c r="R73" s="2">
        <v>0</v>
      </c>
      <c r="S73" s="68">
        <v>1</v>
      </c>
      <c r="T73" s="2">
        <v>1</v>
      </c>
      <c r="U73" s="2">
        <v>1</v>
      </c>
      <c r="V73" s="68">
        <v>0</v>
      </c>
      <c r="W73" s="4"/>
      <c r="X73" s="2">
        <v>0</v>
      </c>
      <c r="Y73" s="68">
        <v>1</v>
      </c>
      <c r="AA73" s="8" t="s">
        <v>536</v>
      </c>
      <c r="AB73" s="63">
        <f>10/78</f>
        <v>0.12820512820512819</v>
      </c>
      <c r="AC73" s="63">
        <f>26/78</f>
        <v>0.33333333333333331</v>
      </c>
      <c r="AD73" s="63">
        <f>67/78</f>
        <v>0.85897435897435892</v>
      </c>
    </row>
    <row r="74" spans="1:30" x14ac:dyDescent="0.25">
      <c r="A74" s="2" t="s">
        <v>238</v>
      </c>
      <c r="B74" s="2">
        <v>1</v>
      </c>
      <c r="C74" s="2">
        <v>0</v>
      </c>
      <c r="D74" s="68">
        <v>0</v>
      </c>
      <c r="E74" s="2">
        <v>0</v>
      </c>
      <c r="F74" s="2">
        <v>1</v>
      </c>
      <c r="G74" s="68">
        <v>0</v>
      </c>
      <c r="H74" s="2">
        <v>1</v>
      </c>
      <c r="I74" s="2">
        <v>0</v>
      </c>
      <c r="J74" s="68">
        <v>0</v>
      </c>
      <c r="K74" s="2">
        <v>0</v>
      </c>
      <c r="L74" s="2">
        <v>1</v>
      </c>
      <c r="M74" s="68">
        <v>0</v>
      </c>
      <c r="N74" s="2">
        <v>0</v>
      </c>
      <c r="O74" s="2">
        <v>1</v>
      </c>
      <c r="P74" s="68">
        <v>0</v>
      </c>
      <c r="Q74" s="2">
        <v>0</v>
      </c>
      <c r="R74" s="2">
        <v>0</v>
      </c>
      <c r="S74" s="68">
        <v>1</v>
      </c>
      <c r="T74" s="2">
        <v>1</v>
      </c>
      <c r="U74" s="2">
        <v>0</v>
      </c>
      <c r="V74" s="68">
        <v>0</v>
      </c>
      <c r="W74" s="4"/>
      <c r="X74" s="2">
        <v>0</v>
      </c>
      <c r="Y74" s="68">
        <v>1</v>
      </c>
      <c r="AA74" s="8" t="s">
        <v>537</v>
      </c>
      <c r="AB74" s="63">
        <f>4/80</f>
        <v>0.05</v>
      </c>
      <c r="AC74" s="63">
        <f>44/80</f>
        <v>0.55000000000000004</v>
      </c>
      <c r="AD74" s="63">
        <f>73/80</f>
        <v>0.91249999999999998</v>
      </c>
    </row>
    <row r="75" spans="1:30" x14ac:dyDescent="0.25">
      <c r="A75" s="2" t="s">
        <v>238</v>
      </c>
      <c r="B75" s="2">
        <v>0</v>
      </c>
      <c r="C75" s="2">
        <v>0</v>
      </c>
      <c r="D75" s="68">
        <v>1</v>
      </c>
      <c r="E75" s="2">
        <v>1</v>
      </c>
      <c r="F75" s="2">
        <v>1</v>
      </c>
      <c r="G75" s="68">
        <v>0</v>
      </c>
      <c r="H75" s="2">
        <v>1</v>
      </c>
      <c r="I75" s="2">
        <v>0</v>
      </c>
      <c r="J75" s="68">
        <v>0</v>
      </c>
      <c r="K75" s="2">
        <v>1</v>
      </c>
      <c r="L75" s="2">
        <v>0</v>
      </c>
      <c r="M75" s="68">
        <v>0</v>
      </c>
      <c r="N75" s="2">
        <v>0</v>
      </c>
      <c r="O75" s="2">
        <v>0</v>
      </c>
      <c r="P75" s="68">
        <v>1</v>
      </c>
      <c r="Q75" s="2">
        <v>0</v>
      </c>
      <c r="R75" s="2">
        <v>0</v>
      </c>
      <c r="S75" s="68">
        <v>1</v>
      </c>
      <c r="T75" s="2">
        <v>1</v>
      </c>
      <c r="U75" s="2">
        <v>1</v>
      </c>
      <c r="V75" s="68">
        <v>0</v>
      </c>
      <c r="W75" s="4"/>
      <c r="X75" s="2">
        <v>0</v>
      </c>
      <c r="Y75" s="68">
        <v>1</v>
      </c>
    </row>
    <row r="76" spans="1:30" x14ac:dyDescent="0.25">
      <c r="A76" s="2" t="s">
        <v>238</v>
      </c>
      <c r="B76" s="2">
        <v>1</v>
      </c>
      <c r="C76" s="2">
        <v>0</v>
      </c>
      <c r="D76" s="68">
        <v>0</v>
      </c>
      <c r="E76" s="2">
        <v>1</v>
      </c>
      <c r="F76" s="2">
        <v>0</v>
      </c>
      <c r="G76" s="68">
        <v>0</v>
      </c>
      <c r="H76" s="2">
        <v>1</v>
      </c>
      <c r="I76" s="2">
        <v>0</v>
      </c>
      <c r="J76" s="68">
        <v>0</v>
      </c>
      <c r="K76" s="2">
        <v>1</v>
      </c>
      <c r="L76" s="2">
        <v>0</v>
      </c>
      <c r="M76" s="68">
        <v>0</v>
      </c>
      <c r="N76" s="2">
        <v>0</v>
      </c>
      <c r="O76" s="2">
        <v>0</v>
      </c>
      <c r="P76" s="68">
        <v>1</v>
      </c>
      <c r="Q76" s="2">
        <v>0</v>
      </c>
      <c r="R76" s="2">
        <v>0</v>
      </c>
      <c r="S76" s="68">
        <v>1</v>
      </c>
      <c r="T76" s="2">
        <v>1</v>
      </c>
      <c r="U76" s="2">
        <v>1</v>
      </c>
      <c r="V76" s="68">
        <v>0</v>
      </c>
      <c r="W76" s="4"/>
      <c r="X76" s="2">
        <v>0</v>
      </c>
      <c r="Y76" s="68">
        <v>1</v>
      </c>
      <c r="AA76" s="1" t="s">
        <v>560</v>
      </c>
      <c r="AD76" s="19"/>
    </row>
    <row r="77" spans="1:30" x14ac:dyDescent="0.25">
      <c r="A77" s="2" t="s">
        <v>238</v>
      </c>
      <c r="B77" s="2">
        <v>1</v>
      </c>
      <c r="C77" s="2">
        <v>0</v>
      </c>
      <c r="D77" s="68">
        <v>0</v>
      </c>
      <c r="E77" s="2">
        <v>1</v>
      </c>
      <c r="F77" s="2">
        <v>1</v>
      </c>
      <c r="G77" s="68">
        <v>0</v>
      </c>
      <c r="H77" s="2">
        <v>1</v>
      </c>
      <c r="I77" s="2">
        <v>0</v>
      </c>
      <c r="J77" s="68">
        <v>0</v>
      </c>
      <c r="K77" s="2">
        <v>1</v>
      </c>
      <c r="L77" s="2">
        <v>1</v>
      </c>
      <c r="M77" s="68">
        <v>0</v>
      </c>
      <c r="N77" s="2">
        <v>0</v>
      </c>
      <c r="O77" s="2">
        <v>0</v>
      </c>
      <c r="P77" s="68">
        <v>1</v>
      </c>
      <c r="Q77" s="2">
        <v>0</v>
      </c>
      <c r="R77" s="2">
        <v>0</v>
      </c>
      <c r="S77" s="68">
        <v>1</v>
      </c>
      <c r="T77" s="2">
        <v>1</v>
      </c>
      <c r="U77" s="2">
        <v>1</v>
      </c>
      <c r="V77" s="68">
        <v>0</v>
      </c>
      <c r="W77" s="4"/>
      <c r="X77" s="2">
        <v>0</v>
      </c>
      <c r="Y77" s="68">
        <v>1</v>
      </c>
      <c r="AA77" s="43"/>
      <c r="AB77" s="43" t="s">
        <v>558</v>
      </c>
      <c r="AC77" s="43" t="s">
        <v>557</v>
      </c>
      <c r="AD77" s="43" t="s">
        <v>556</v>
      </c>
    </row>
    <row r="78" spans="1:30" x14ac:dyDescent="0.25">
      <c r="A78" s="2" t="s">
        <v>238</v>
      </c>
      <c r="B78" s="2">
        <v>1</v>
      </c>
      <c r="C78" s="2">
        <v>1</v>
      </c>
      <c r="D78" s="68">
        <v>0</v>
      </c>
      <c r="E78" s="2">
        <v>1</v>
      </c>
      <c r="F78" s="2">
        <v>1</v>
      </c>
      <c r="G78" s="68">
        <v>0</v>
      </c>
      <c r="H78" s="2">
        <v>1</v>
      </c>
      <c r="I78" s="2">
        <v>0</v>
      </c>
      <c r="J78" s="68">
        <v>0</v>
      </c>
      <c r="K78" s="2">
        <v>1</v>
      </c>
      <c r="L78" s="2">
        <v>0</v>
      </c>
      <c r="M78" s="68">
        <v>0</v>
      </c>
      <c r="N78" s="2">
        <v>0</v>
      </c>
      <c r="O78" s="2">
        <v>0</v>
      </c>
      <c r="P78" s="68">
        <v>1</v>
      </c>
      <c r="Q78" s="2">
        <v>0</v>
      </c>
      <c r="R78" s="2">
        <v>0</v>
      </c>
      <c r="S78" s="68">
        <v>1</v>
      </c>
      <c r="T78" s="2">
        <v>1</v>
      </c>
      <c r="U78" s="2">
        <v>1</v>
      </c>
      <c r="V78" s="68">
        <v>0</v>
      </c>
      <c r="W78" s="4"/>
      <c r="X78" s="2">
        <v>0</v>
      </c>
      <c r="Y78" s="68">
        <v>1</v>
      </c>
      <c r="AA78" s="8" t="s">
        <v>543</v>
      </c>
      <c r="AB78" s="63">
        <f>4/14</f>
        <v>0.2857142857142857</v>
      </c>
      <c r="AC78" s="63">
        <f>10/14</f>
        <v>0.7142857142857143</v>
      </c>
      <c r="AD78" s="69"/>
    </row>
    <row r="79" spans="1:30" x14ac:dyDescent="0.25">
      <c r="A79" s="2" t="s">
        <v>238</v>
      </c>
      <c r="B79" s="2">
        <v>1</v>
      </c>
      <c r="C79" s="2">
        <v>1</v>
      </c>
      <c r="D79" s="68">
        <v>0</v>
      </c>
      <c r="E79" s="2">
        <v>1</v>
      </c>
      <c r="F79" s="2">
        <v>1</v>
      </c>
      <c r="G79" s="68">
        <v>0</v>
      </c>
      <c r="H79" s="2">
        <v>1</v>
      </c>
      <c r="I79" s="2">
        <v>0</v>
      </c>
      <c r="J79" s="68">
        <v>0</v>
      </c>
      <c r="K79" s="2">
        <v>1</v>
      </c>
      <c r="L79" s="2">
        <v>0</v>
      </c>
      <c r="M79" s="68">
        <v>0</v>
      </c>
      <c r="N79" s="2">
        <v>0</v>
      </c>
      <c r="O79" s="2">
        <v>0</v>
      </c>
      <c r="P79" s="68">
        <v>1</v>
      </c>
      <c r="Q79" s="2">
        <v>0</v>
      </c>
      <c r="R79" s="2">
        <v>0</v>
      </c>
      <c r="S79" s="68">
        <v>1</v>
      </c>
      <c r="T79" s="2">
        <v>1</v>
      </c>
      <c r="U79" s="2">
        <v>0</v>
      </c>
      <c r="V79" s="68">
        <v>0</v>
      </c>
      <c r="W79" s="4"/>
      <c r="X79" s="2">
        <v>0</v>
      </c>
      <c r="Y79" s="68">
        <v>1</v>
      </c>
      <c r="AA79" s="8" t="s">
        <v>540</v>
      </c>
      <c r="AB79" s="63">
        <f>11/13</f>
        <v>0.84615384615384615</v>
      </c>
      <c r="AC79" s="63">
        <v>0</v>
      </c>
      <c r="AD79" s="63">
        <f>2/13</f>
        <v>0.15384615384615385</v>
      </c>
    </row>
    <row r="80" spans="1:30" x14ac:dyDescent="0.25">
      <c r="A80" s="2" t="s">
        <v>238</v>
      </c>
      <c r="B80" s="2">
        <v>1</v>
      </c>
      <c r="C80" s="2">
        <v>1</v>
      </c>
      <c r="D80" s="68">
        <v>0</v>
      </c>
      <c r="E80" s="2">
        <v>1</v>
      </c>
      <c r="F80" s="2">
        <v>1</v>
      </c>
      <c r="G80" s="68">
        <v>0</v>
      </c>
      <c r="H80" s="2">
        <v>1</v>
      </c>
      <c r="I80" s="2">
        <v>1</v>
      </c>
      <c r="J80" s="68">
        <v>0</v>
      </c>
      <c r="K80" s="2">
        <v>1</v>
      </c>
      <c r="L80" s="2">
        <v>1</v>
      </c>
      <c r="M80" s="68">
        <v>0</v>
      </c>
      <c r="N80" s="2">
        <v>0</v>
      </c>
      <c r="O80" s="2">
        <v>0</v>
      </c>
      <c r="P80" s="68">
        <v>1</v>
      </c>
      <c r="Q80" s="2">
        <v>0</v>
      </c>
      <c r="R80" s="2">
        <v>0</v>
      </c>
      <c r="S80" s="68">
        <v>1</v>
      </c>
      <c r="T80" s="2">
        <v>1</v>
      </c>
      <c r="U80" s="2">
        <v>1</v>
      </c>
      <c r="V80" s="68">
        <v>0</v>
      </c>
      <c r="W80" s="4"/>
      <c r="X80" s="2">
        <v>0</v>
      </c>
      <c r="Y80" s="68">
        <v>1</v>
      </c>
      <c r="AA80" s="8" t="s">
        <v>541</v>
      </c>
      <c r="AB80" s="63">
        <f>10/14</f>
        <v>0.7142857142857143</v>
      </c>
      <c r="AC80" s="63">
        <v>0</v>
      </c>
      <c r="AD80" s="63">
        <f>4/14</f>
        <v>0.2857142857142857</v>
      </c>
    </row>
    <row r="81" spans="1:30" x14ac:dyDescent="0.25">
      <c r="A81" s="2" t="s">
        <v>238</v>
      </c>
      <c r="B81" s="2">
        <v>0</v>
      </c>
      <c r="C81" s="2">
        <v>0</v>
      </c>
      <c r="D81" s="68">
        <v>1</v>
      </c>
      <c r="E81" s="2">
        <v>1</v>
      </c>
      <c r="F81" s="2">
        <v>0</v>
      </c>
      <c r="G81" s="68">
        <v>0</v>
      </c>
      <c r="H81" s="2">
        <v>0</v>
      </c>
      <c r="I81" s="2">
        <v>0</v>
      </c>
      <c r="J81" s="68">
        <v>1</v>
      </c>
      <c r="K81" s="2">
        <v>1</v>
      </c>
      <c r="L81" s="2">
        <v>0</v>
      </c>
      <c r="M81" s="68">
        <v>0</v>
      </c>
      <c r="N81" s="2">
        <v>1</v>
      </c>
      <c r="O81" s="2">
        <v>0</v>
      </c>
      <c r="P81" s="68">
        <v>0</v>
      </c>
      <c r="Q81" s="2">
        <v>0</v>
      </c>
      <c r="R81" s="2">
        <v>0</v>
      </c>
      <c r="S81" s="68">
        <v>1</v>
      </c>
      <c r="T81" s="2">
        <v>1</v>
      </c>
      <c r="U81" s="2">
        <v>0</v>
      </c>
      <c r="V81" s="68">
        <v>0</v>
      </c>
      <c r="W81" s="4"/>
      <c r="X81" s="2">
        <v>0</v>
      </c>
      <c r="Y81" s="68">
        <v>1</v>
      </c>
      <c r="AA81" s="8" t="s">
        <v>542</v>
      </c>
      <c r="AB81" s="63">
        <f>3/14</f>
        <v>0.21428571428571427</v>
      </c>
      <c r="AC81" s="63">
        <f>11/14</f>
        <v>0.7857142857142857</v>
      </c>
      <c r="AD81" s="63">
        <f>7/14</f>
        <v>0.5</v>
      </c>
    </row>
    <row r="82" spans="1:30" x14ac:dyDescent="0.25">
      <c r="A82" s="2" t="s">
        <v>238</v>
      </c>
      <c r="B82" s="2">
        <v>1</v>
      </c>
      <c r="C82" s="2">
        <v>0</v>
      </c>
      <c r="D82" s="68">
        <v>0</v>
      </c>
      <c r="E82" s="2">
        <v>1</v>
      </c>
      <c r="F82" s="2">
        <v>0</v>
      </c>
      <c r="G82" s="68">
        <v>0</v>
      </c>
      <c r="H82" s="2">
        <v>0</v>
      </c>
      <c r="I82" s="2">
        <v>0</v>
      </c>
      <c r="J82" s="68">
        <v>1</v>
      </c>
      <c r="K82" s="2">
        <v>1</v>
      </c>
      <c r="L82" s="2">
        <v>1</v>
      </c>
      <c r="M82" s="68">
        <v>0</v>
      </c>
      <c r="N82" s="2">
        <v>1</v>
      </c>
      <c r="O82" s="2">
        <v>1</v>
      </c>
      <c r="P82" s="68">
        <v>0</v>
      </c>
      <c r="Q82" s="2">
        <v>0</v>
      </c>
      <c r="R82" s="2">
        <v>0</v>
      </c>
      <c r="S82" s="68">
        <v>1</v>
      </c>
      <c r="T82" s="2">
        <v>1</v>
      </c>
      <c r="U82" s="2">
        <v>1</v>
      </c>
      <c r="V82" s="68">
        <v>0</v>
      </c>
      <c r="W82" s="4"/>
      <c r="X82" s="2">
        <v>0</v>
      </c>
      <c r="Y82" s="68">
        <v>1</v>
      </c>
      <c r="AA82" s="8" t="s">
        <v>539</v>
      </c>
      <c r="AB82" s="63">
        <f>3/14</f>
        <v>0.21428571428571427</v>
      </c>
      <c r="AC82" s="63">
        <f>3/14</f>
        <v>0.21428571428571427</v>
      </c>
      <c r="AD82" s="63">
        <f>10/14</f>
        <v>0.7142857142857143</v>
      </c>
    </row>
    <row r="83" spans="1:30" x14ac:dyDescent="0.25">
      <c r="A83" s="2" t="s">
        <v>238</v>
      </c>
      <c r="B83" s="2">
        <v>1</v>
      </c>
      <c r="C83" s="2">
        <v>0</v>
      </c>
      <c r="D83" s="68">
        <v>0</v>
      </c>
      <c r="E83" s="2">
        <v>1</v>
      </c>
      <c r="F83" s="2">
        <v>1</v>
      </c>
      <c r="G83" s="68">
        <v>0</v>
      </c>
      <c r="H83" s="2">
        <v>1</v>
      </c>
      <c r="I83" s="2">
        <v>0</v>
      </c>
      <c r="J83" s="68">
        <v>0</v>
      </c>
      <c r="K83" s="2">
        <v>1</v>
      </c>
      <c r="L83" s="2">
        <v>0</v>
      </c>
      <c r="M83" s="68">
        <v>0</v>
      </c>
      <c r="N83" s="2">
        <v>1</v>
      </c>
      <c r="O83" s="2">
        <v>0</v>
      </c>
      <c r="P83" s="68">
        <v>0</v>
      </c>
      <c r="Q83" s="2">
        <v>0</v>
      </c>
      <c r="R83" s="2">
        <v>0</v>
      </c>
      <c r="S83" s="68">
        <v>1</v>
      </c>
      <c r="T83" s="2">
        <v>1</v>
      </c>
      <c r="U83" s="2">
        <v>1</v>
      </c>
      <c r="V83" s="68">
        <v>0</v>
      </c>
      <c r="W83" s="4"/>
      <c r="X83" s="2">
        <v>0</v>
      </c>
      <c r="Y83" s="68">
        <v>1</v>
      </c>
      <c r="AA83" s="8" t="s">
        <v>538</v>
      </c>
      <c r="AB83" s="63">
        <f>2/13</f>
        <v>0.15384615384615385</v>
      </c>
      <c r="AC83" s="63">
        <f>10/13</f>
        <v>0.76923076923076927</v>
      </c>
      <c r="AD83" s="63">
        <f>11/13</f>
        <v>0.84615384615384615</v>
      </c>
    </row>
    <row r="84" spans="1:30" x14ac:dyDescent="0.25">
      <c r="A84" s="2" t="s">
        <v>238</v>
      </c>
      <c r="B84" s="2">
        <v>1</v>
      </c>
      <c r="C84" s="2">
        <v>1</v>
      </c>
      <c r="D84" s="68">
        <v>0</v>
      </c>
      <c r="E84" s="2">
        <v>1</v>
      </c>
      <c r="F84" s="2">
        <v>1</v>
      </c>
      <c r="G84" s="68">
        <v>0</v>
      </c>
      <c r="H84" s="2">
        <v>1</v>
      </c>
      <c r="I84" s="2">
        <v>0</v>
      </c>
      <c r="J84" s="68">
        <v>0</v>
      </c>
      <c r="K84" s="2">
        <v>1</v>
      </c>
      <c r="L84" s="2">
        <v>0</v>
      </c>
      <c r="M84" s="68">
        <v>0</v>
      </c>
      <c r="N84" s="2">
        <v>1</v>
      </c>
      <c r="O84" s="2">
        <v>0</v>
      </c>
      <c r="P84" s="68">
        <v>0</v>
      </c>
      <c r="Q84" s="2">
        <v>0</v>
      </c>
      <c r="R84" s="2">
        <v>0</v>
      </c>
      <c r="S84" s="68">
        <v>1</v>
      </c>
      <c r="T84" s="2">
        <v>1</v>
      </c>
      <c r="U84" s="2">
        <v>0</v>
      </c>
      <c r="V84" s="68">
        <v>0</v>
      </c>
      <c r="W84" s="4"/>
      <c r="X84" s="2">
        <v>0</v>
      </c>
      <c r="Y84" s="68">
        <v>1</v>
      </c>
      <c r="AA84" s="8" t="s">
        <v>536</v>
      </c>
      <c r="AB84" s="63">
        <v>0</v>
      </c>
      <c r="AC84" s="63">
        <f>9/14</f>
        <v>0.6428571428571429</v>
      </c>
      <c r="AD84" s="63">
        <f>14/14</f>
        <v>1</v>
      </c>
    </row>
    <row r="85" spans="1:30" x14ac:dyDescent="0.25">
      <c r="A85" s="2" t="s">
        <v>238</v>
      </c>
      <c r="B85" s="2">
        <v>1</v>
      </c>
      <c r="C85" s="2">
        <v>1</v>
      </c>
      <c r="D85" s="68">
        <v>0</v>
      </c>
      <c r="E85" s="2">
        <v>1</v>
      </c>
      <c r="F85" s="2">
        <v>1</v>
      </c>
      <c r="G85" s="68">
        <v>0</v>
      </c>
      <c r="H85" s="2">
        <v>1</v>
      </c>
      <c r="I85" s="2">
        <v>1</v>
      </c>
      <c r="J85" s="68">
        <v>0</v>
      </c>
      <c r="K85" s="2">
        <v>1</v>
      </c>
      <c r="L85" s="2">
        <v>1</v>
      </c>
      <c r="M85" s="68">
        <v>0</v>
      </c>
      <c r="N85" s="2">
        <v>1</v>
      </c>
      <c r="O85" s="2">
        <v>1</v>
      </c>
      <c r="P85" s="68">
        <v>0</v>
      </c>
      <c r="Q85" s="2">
        <v>0</v>
      </c>
      <c r="R85" s="2">
        <v>0</v>
      </c>
      <c r="S85" s="68">
        <v>1</v>
      </c>
      <c r="T85" s="2">
        <v>1</v>
      </c>
      <c r="U85" s="2">
        <v>0</v>
      </c>
      <c r="V85" s="68">
        <v>0</v>
      </c>
      <c r="W85" s="4"/>
      <c r="X85" s="2">
        <v>0</v>
      </c>
      <c r="Y85" s="68">
        <v>1</v>
      </c>
      <c r="AA85" s="8" t="s">
        <v>537</v>
      </c>
      <c r="AB85" s="63">
        <v>0</v>
      </c>
      <c r="AC85" s="63">
        <f>12/14</f>
        <v>0.8571428571428571</v>
      </c>
      <c r="AD85" s="63">
        <f>5/5</f>
        <v>1</v>
      </c>
    </row>
    <row r="86" spans="1:30" x14ac:dyDescent="0.25">
      <c r="A86" s="2" t="s">
        <v>238</v>
      </c>
      <c r="B86" s="2">
        <v>0</v>
      </c>
      <c r="C86" s="2">
        <v>0</v>
      </c>
      <c r="D86" s="68">
        <v>1</v>
      </c>
      <c r="E86" s="2">
        <v>1</v>
      </c>
      <c r="F86" s="2">
        <v>1</v>
      </c>
      <c r="G86" s="68">
        <v>0</v>
      </c>
      <c r="H86" s="2">
        <v>0</v>
      </c>
      <c r="I86" s="2">
        <v>0</v>
      </c>
      <c r="J86" s="68">
        <v>1</v>
      </c>
      <c r="K86" s="2">
        <v>1</v>
      </c>
      <c r="L86" s="2">
        <v>1</v>
      </c>
      <c r="M86" s="68">
        <v>0</v>
      </c>
      <c r="N86" s="2"/>
      <c r="O86" s="2"/>
      <c r="P86" s="68"/>
      <c r="Q86" s="2">
        <v>0</v>
      </c>
      <c r="R86" s="2">
        <v>0</v>
      </c>
      <c r="S86" s="68">
        <v>1</v>
      </c>
      <c r="T86" s="2">
        <v>1</v>
      </c>
      <c r="U86" s="2">
        <v>1</v>
      </c>
      <c r="V86" s="68">
        <v>0</v>
      </c>
      <c r="W86" s="4"/>
      <c r="X86" s="2">
        <v>0</v>
      </c>
      <c r="Y86" s="68">
        <v>1</v>
      </c>
    </row>
    <row r="87" spans="1:30" x14ac:dyDescent="0.25">
      <c r="A87" s="2" t="s">
        <v>238</v>
      </c>
      <c r="B87" s="2">
        <v>1</v>
      </c>
      <c r="C87" s="2">
        <v>0</v>
      </c>
      <c r="D87" s="68">
        <v>0</v>
      </c>
      <c r="E87" s="2">
        <v>0</v>
      </c>
      <c r="F87" s="2">
        <v>0</v>
      </c>
      <c r="G87" s="68">
        <v>1</v>
      </c>
      <c r="H87" s="2">
        <v>0</v>
      </c>
      <c r="I87" s="2">
        <v>0</v>
      </c>
      <c r="J87" s="68">
        <v>1</v>
      </c>
      <c r="K87" s="2">
        <v>0</v>
      </c>
      <c r="L87" s="2">
        <v>0</v>
      </c>
      <c r="M87" s="68">
        <v>1</v>
      </c>
      <c r="N87" s="2">
        <v>0</v>
      </c>
      <c r="O87" s="2">
        <v>0</v>
      </c>
      <c r="P87" s="68">
        <v>1</v>
      </c>
      <c r="Q87" s="2">
        <v>1</v>
      </c>
      <c r="R87" s="2">
        <v>0</v>
      </c>
      <c r="S87" s="68">
        <v>0</v>
      </c>
      <c r="T87" s="2">
        <v>1</v>
      </c>
      <c r="U87" s="2">
        <v>1</v>
      </c>
      <c r="V87" s="68">
        <v>0</v>
      </c>
      <c r="W87" s="4"/>
      <c r="X87" s="2">
        <v>0</v>
      </c>
      <c r="Y87" s="68">
        <v>1</v>
      </c>
    </row>
    <row r="88" spans="1:30" x14ac:dyDescent="0.25">
      <c r="A88" s="2" t="s">
        <v>238</v>
      </c>
      <c r="B88" s="2">
        <v>1</v>
      </c>
      <c r="C88" s="2">
        <v>1</v>
      </c>
      <c r="D88" s="68">
        <v>0</v>
      </c>
      <c r="E88" s="2">
        <v>1</v>
      </c>
      <c r="F88" s="2">
        <v>1</v>
      </c>
      <c r="G88" s="68">
        <v>0</v>
      </c>
      <c r="H88" s="2">
        <v>1</v>
      </c>
      <c r="I88" s="2">
        <v>1</v>
      </c>
      <c r="J88" s="68">
        <v>0</v>
      </c>
      <c r="K88" s="2">
        <v>0</v>
      </c>
      <c r="L88" s="2">
        <v>0</v>
      </c>
      <c r="M88" s="68">
        <v>1</v>
      </c>
      <c r="N88" s="2">
        <v>0</v>
      </c>
      <c r="O88" s="2">
        <v>0</v>
      </c>
      <c r="P88" s="68">
        <v>1</v>
      </c>
      <c r="Q88" s="2">
        <v>1</v>
      </c>
      <c r="R88" s="2">
        <v>1</v>
      </c>
      <c r="S88" s="68">
        <v>0</v>
      </c>
      <c r="T88" s="2">
        <v>1</v>
      </c>
      <c r="U88" s="2">
        <v>1</v>
      </c>
      <c r="V88" s="68">
        <v>0</v>
      </c>
      <c r="W88" s="4"/>
      <c r="X88" s="2">
        <v>0</v>
      </c>
      <c r="Y88" s="68">
        <v>1</v>
      </c>
    </row>
    <row r="89" spans="1:30" x14ac:dyDescent="0.25">
      <c r="A89" s="2" t="s">
        <v>238</v>
      </c>
      <c r="B89" s="2">
        <v>1</v>
      </c>
      <c r="C89" s="2">
        <v>1</v>
      </c>
      <c r="D89" s="68">
        <v>0</v>
      </c>
      <c r="E89" s="2">
        <v>1</v>
      </c>
      <c r="F89" s="2">
        <v>1</v>
      </c>
      <c r="G89" s="68">
        <v>0</v>
      </c>
      <c r="H89" s="2">
        <v>0</v>
      </c>
      <c r="I89" s="2">
        <v>0</v>
      </c>
      <c r="J89" s="68">
        <v>1</v>
      </c>
      <c r="K89" s="2">
        <v>1</v>
      </c>
      <c r="L89" s="2">
        <v>1</v>
      </c>
      <c r="M89" s="68">
        <v>0</v>
      </c>
      <c r="N89" s="2">
        <v>0</v>
      </c>
      <c r="O89" s="2">
        <v>0</v>
      </c>
      <c r="P89" s="68">
        <v>1</v>
      </c>
      <c r="Q89" s="2">
        <v>1</v>
      </c>
      <c r="R89" s="2">
        <v>1</v>
      </c>
      <c r="S89" s="68">
        <v>0</v>
      </c>
      <c r="T89" s="2">
        <v>1</v>
      </c>
      <c r="U89" s="2">
        <v>1</v>
      </c>
      <c r="V89" s="68">
        <v>0</v>
      </c>
      <c r="W89" s="4"/>
      <c r="X89" s="2">
        <v>0</v>
      </c>
      <c r="Y89" s="68">
        <v>1</v>
      </c>
    </row>
    <row r="90" spans="1:30" x14ac:dyDescent="0.25">
      <c r="A90" s="2" t="s">
        <v>238</v>
      </c>
      <c r="B90" s="2">
        <v>1</v>
      </c>
      <c r="C90" s="2">
        <v>0</v>
      </c>
      <c r="D90" s="68">
        <v>0</v>
      </c>
      <c r="E90" s="2">
        <v>1</v>
      </c>
      <c r="F90" s="2">
        <v>0</v>
      </c>
      <c r="G90" s="68">
        <v>0</v>
      </c>
      <c r="H90" s="2">
        <v>1</v>
      </c>
      <c r="I90" s="2">
        <v>0</v>
      </c>
      <c r="J90" s="68">
        <v>0</v>
      </c>
      <c r="K90" s="2">
        <v>1</v>
      </c>
      <c r="L90" s="2">
        <v>0</v>
      </c>
      <c r="M90" s="68">
        <v>0</v>
      </c>
      <c r="N90" s="2">
        <v>0</v>
      </c>
      <c r="O90" s="2">
        <v>0</v>
      </c>
      <c r="P90" s="68">
        <v>1</v>
      </c>
      <c r="Q90" s="2">
        <v>1</v>
      </c>
      <c r="R90" s="2">
        <v>0</v>
      </c>
      <c r="S90" s="68">
        <v>0</v>
      </c>
      <c r="T90" s="2">
        <v>1</v>
      </c>
      <c r="U90" s="2">
        <v>0</v>
      </c>
      <c r="V90" s="68">
        <v>0</v>
      </c>
      <c r="W90" s="4"/>
      <c r="X90" s="2">
        <v>0</v>
      </c>
      <c r="Y90" s="68">
        <v>1</v>
      </c>
    </row>
    <row r="91" spans="1:30" x14ac:dyDescent="0.25">
      <c r="A91" s="2" t="s">
        <v>238</v>
      </c>
      <c r="B91" s="2">
        <v>1</v>
      </c>
      <c r="C91" s="2">
        <v>0</v>
      </c>
      <c r="D91" s="68">
        <v>0</v>
      </c>
      <c r="E91" s="2">
        <v>1</v>
      </c>
      <c r="F91" s="2">
        <v>0</v>
      </c>
      <c r="G91" s="68">
        <v>0</v>
      </c>
      <c r="H91" s="2">
        <v>1</v>
      </c>
      <c r="I91" s="2">
        <v>0</v>
      </c>
      <c r="J91" s="68">
        <v>0</v>
      </c>
      <c r="K91" s="2">
        <v>1</v>
      </c>
      <c r="L91" s="2">
        <v>0</v>
      </c>
      <c r="M91" s="68">
        <v>0</v>
      </c>
      <c r="N91" s="2">
        <v>0</v>
      </c>
      <c r="O91" s="2">
        <v>0</v>
      </c>
      <c r="P91" s="68">
        <v>1</v>
      </c>
      <c r="Q91" s="2">
        <v>1</v>
      </c>
      <c r="R91" s="2">
        <v>0</v>
      </c>
      <c r="S91" s="68">
        <v>0</v>
      </c>
      <c r="T91" s="2">
        <v>1</v>
      </c>
      <c r="U91" s="2">
        <v>0</v>
      </c>
      <c r="V91" s="68">
        <v>0</v>
      </c>
      <c r="W91" s="4"/>
      <c r="X91" s="2">
        <v>0</v>
      </c>
      <c r="Y91" s="68">
        <v>1</v>
      </c>
    </row>
    <row r="92" spans="1:30" x14ac:dyDescent="0.25">
      <c r="A92" s="2" t="s">
        <v>238</v>
      </c>
      <c r="B92" s="2">
        <v>1</v>
      </c>
      <c r="C92" s="2">
        <v>0</v>
      </c>
      <c r="D92" s="68">
        <v>0</v>
      </c>
      <c r="E92" s="2">
        <v>1</v>
      </c>
      <c r="F92" s="2">
        <v>1</v>
      </c>
      <c r="G92" s="68">
        <v>0</v>
      </c>
      <c r="H92" s="2">
        <v>1</v>
      </c>
      <c r="I92" s="2">
        <v>0</v>
      </c>
      <c r="J92" s="68">
        <v>0</v>
      </c>
      <c r="K92" s="2">
        <v>1</v>
      </c>
      <c r="L92" s="2">
        <v>1</v>
      </c>
      <c r="M92" s="68">
        <v>0</v>
      </c>
      <c r="N92" s="2">
        <v>0</v>
      </c>
      <c r="O92" s="2">
        <v>0</v>
      </c>
      <c r="P92" s="68">
        <v>1</v>
      </c>
      <c r="Q92" s="2">
        <v>1</v>
      </c>
      <c r="R92" s="2">
        <v>1</v>
      </c>
      <c r="S92" s="68">
        <v>0</v>
      </c>
      <c r="T92" s="2">
        <v>1</v>
      </c>
      <c r="U92" s="2">
        <v>0</v>
      </c>
      <c r="V92" s="68">
        <v>0</v>
      </c>
      <c r="W92" s="4"/>
      <c r="X92" s="2">
        <v>0</v>
      </c>
      <c r="Y92" s="68">
        <v>1</v>
      </c>
    </row>
    <row r="93" spans="1:30" x14ac:dyDescent="0.25">
      <c r="A93" s="2" t="s">
        <v>238</v>
      </c>
      <c r="B93" s="2">
        <v>1</v>
      </c>
      <c r="C93" s="2">
        <v>1</v>
      </c>
      <c r="D93" s="68">
        <v>0</v>
      </c>
      <c r="E93" s="2">
        <v>1</v>
      </c>
      <c r="F93" s="2">
        <v>1</v>
      </c>
      <c r="G93" s="68">
        <v>0</v>
      </c>
      <c r="H93" s="2">
        <v>1</v>
      </c>
      <c r="I93" s="2">
        <v>1</v>
      </c>
      <c r="J93" s="68">
        <v>0</v>
      </c>
      <c r="K93" s="2">
        <v>1</v>
      </c>
      <c r="L93" s="2">
        <v>0</v>
      </c>
      <c r="M93" s="68">
        <v>0</v>
      </c>
      <c r="N93" s="2">
        <v>0</v>
      </c>
      <c r="O93" s="2">
        <v>0</v>
      </c>
      <c r="P93" s="68">
        <v>1</v>
      </c>
      <c r="Q93" s="2">
        <v>1</v>
      </c>
      <c r="R93" s="2">
        <v>0</v>
      </c>
      <c r="S93" s="68">
        <v>0</v>
      </c>
      <c r="T93" s="2">
        <v>1</v>
      </c>
      <c r="U93" s="2">
        <v>1</v>
      </c>
      <c r="V93" s="68">
        <v>0</v>
      </c>
      <c r="W93" s="4"/>
      <c r="X93" s="2">
        <v>0</v>
      </c>
      <c r="Y93" s="68">
        <v>1</v>
      </c>
    </row>
    <row r="94" spans="1:30" x14ac:dyDescent="0.25">
      <c r="A94" s="2" t="s">
        <v>238</v>
      </c>
      <c r="B94" s="2">
        <v>1</v>
      </c>
      <c r="C94" s="2">
        <v>1</v>
      </c>
      <c r="D94" s="68">
        <v>0</v>
      </c>
      <c r="E94" s="2">
        <v>1</v>
      </c>
      <c r="F94" s="2">
        <v>1</v>
      </c>
      <c r="G94" s="68">
        <v>0</v>
      </c>
      <c r="H94" s="2">
        <v>1</v>
      </c>
      <c r="I94" s="2">
        <v>1</v>
      </c>
      <c r="J94" s="68">
        <v>0</v>
      </c>
      <c r="K94" s="2">
        <v>1</v>
      </c>
      <c r="L94" s="2">
        <v>1</v>
      </c>
      <c r="M94" s="68">
        <v>0</v>
      </c>
      <c r="N94" s="2">
        <v>0</v>
      </c>
      <c r="O94" s="2">
        <v>0</v>
      </c>
      <c r="P94" s="68">
        <v>1</v>
      </c>
      <c r="Q94" s="2">
        <v>1</v>
      </c>
      <c r="R94" s="2">
        <v>1</v>
      </c>
      <c r="S94" s="68">
        <v>0</v>
      </c>
      <c r="T94" s="2">
        <v>1</v>
      </c>
      <c r="U94" s="2">
        <v>1</v>
      </c>
      <c r="V94" s="68">
        <v>0</v>
      </c>
      <c r="W94" s="4"/>
      <c r="X94" s="2">
        <v>0</v>
      </c>
      <c r="Y94" s="68">
        <v>1</v>
      </c>
    </row>
    <row r="95" spans="1:30" x14ac:dyDescent="0.25">
      <c r="A95" s="2" t="s">
        <v>238</v>
      </c>
      <c r="B95" s="2">
        <v>1</v>
      </c>
      <c r="C95" s="2">
        <v>1</v>
      </c>
      <c r="D95" s="68">
        <v>0</v>
      </c>
      <c r="E95" s="2">
        <v>1</v>
      </c>
      <c r="F95" s="2">
        <v>1</v>
      </c>
      <c r="G95" s="68">
        <v>0</v>
      </c>
      <c r="H95" s="2">
        <v>1</v>
      </c>
      <c r="I95" s="2">
        <v>1</v>
      </c>
      <c r="J95" s="68">
        <v>0</v>
      </c>
      <c r="K95" s="2">
        <v>1</v>
      </c>
      <c r="L95" s="2">
        <v>1</v>
      </c>
      <c r="M95" s="68">
        <v>0</v>
      </c>
      <c r="N95" s="2">
        <v>0</v>
      </c>
      <c r="O95" s="2">
        <v>0</v>
      </c>
      <c r="P95" s="68">
        <v>1</v>
      </c>
      <c r="Q95" s="2">
        <v>1</v>
      </c>
      <c r="R95" s="2">
        <v>1</v>
      </c>
      <c r="S95" s="68">
        <v>0</v>
      </c>
      <c r="T95" s="2">
        <v>1</v>
      </c>
      <c r="U95" s="2">
        <v>1</v>
      </c>
      <c r="V95" s="68">
        <v>0</v>
      </c>
      <c r="W95" s="4"/>
      <c r="X95" s="2">
        <v>0</v>
      </c>
      <c r="Y95" s="68">
        <v>1</v>
      </c>
    </row>
    <row r="96" spans="1:30" x14ac:dyDescent="0.25">
      <c r="A96" s="2" t="s">
        <v>238</v>
      </c>
      <c r="B96" s="2">
        <v>1</v>
      </c>
      <c r="C96" s="2">
        <v>0</v>
      </c>
      <c r="D96" s="68">
        <v>0</v>
      </c>
      <c r="E96" s="2">
        <v>1</v>
      </c>
      <c r="F96" s="2">
        <v>0</v>
      </c>
      <c r="G96" s="68">
        <v>0</v>
      </c>
      <c r="H96" s="2">
        <v>1</v>
      </c>
      <c r="I96" s="2">
        <v>0</v>
      </c>
      <c r="J96" s="68">
        <v>0</v>
      </c>
      <c r="K96" s="2">
        <v>1</v>
      </c>
      <c r="L96" s="2">
        <v>0</v>
      </c>
      <c r="M96" s="68">
        <v>0</v>
      </c>
      <c r="N96" s="2"/>
      <c r="O96" s="2"/>
      <c r="P96" s="68"/>
      <c r="Q96" s="2">
        <v>1</v>
      </c>
      <c r="R96" s="2">
        <v>0</v>
      </c>
      <c r="S96" s="68">
        <v>0</v>
      </c>
      <c r="T96" s="2">
        <v>1</v>
      </c>
      <c r="U96" s="2">
        <v>0</v>
      </c>
      <c r="V96" s="68">
        <v>0</v>
      </c>
      <c r="W96" s="4"/>
      <c r="X96" s="2">
        <v>0</v>
      </c>
      <c r="Y96" s="68">
        <v>1</v>
      </c>
    </row>
    <row r="97" spans="1:25" x14ac:dyDescent="0.25">
      <c r="A97" s="3" t="s">
        <v>238</v>
      </c>
      <c r="B97" s="3">
        <v>1</v>
      </c>
      <c r="C97" s="3">
        <v>0</v>
      </c>
      <c r="D97" s="68">
        <v>0</v>
      </c>
      <c r="E97" s="3">
        <v>1</v>
      </c>
      <c r="F97" s="3">
        <v>1</v>
      </c>
      <c r="G97" s="68">
        <v>0</v>
      </c>
      <c r="H97" s="3">
        <v>0</v>
      </c>
      <c r="I97" s="3">
        <v>0</v>
      </c>
      <c r="J97" s="68">
        <v>1</v>
      </c>
      <c r="K97" s="3">
        <v>1</v>
      </c>
      <c r="L97" s="3">
        <v>1</v>
      </c>
      <c r="M97" s="68">
        <v>0</v>
      </c>
      <c r="N97" s="3">
        <v>0</v>
      </c>
      <c r="O97" s="3">
        <v>0</v>
      </c>
      <c r="P97" s="68">
        <v>1</v>
      </c>
      <c r="Q97" s="3">
        <v>0</v>
      </c>
      <c r="R97" s="3">
        <v>0</v>
      </c>
      <c r="S97" s="68">
        <v>1</v>
      </c>
      <c r="T97" s="3">
        <v>0</v>
      </c>
      <c r="U97" s="3">
        <v>0</v>
      </c>
      <c r="V97" s="68">
        <v>1</v>
      </c>
      <c r="W97" s="3"/>
      <c r="X97" s="3">
        <v>1</v>
      </c>
      <c r="Y97" s="68">
        <v>0</v>
      </c>
    </row>
    <row r="98" spans="1:25" x14ac:dyDescent="0.25">
      <c r="A98" s="2" t="s">
        <v>238</v>
      </c>
      <c r="B98" s="2">
        <v>0</v>
      </c>
      <c r="C98" s="2">
        <v>0</v>
      </c>
      <c r="D98" s="68">
        <v>1</v>
      </c>
      <c r="E98" s="2">
        <v>1</v>
      </c>
      <c r="F98" s="2">
        <v>1</v>
      </c>
      <c r="G98" s="68">
        <v>0</v>
      </c>
      <c r="H98" s="2">
        <v>0</v>
      </c>
      <c r="I98" s="2">
        <v>0</v>
      </c>
      <c r="J98" s="68">
        <v>1</v>
      </c>
      <c r="K98" s="2">
        <v>1</v>
      </c>
      <c r="L98" s="2">
        <v>0</v>
      </c>
      <c r="M98" s="68">
        <v>0</v>
      </c>
      <c r="N98" s="2">
        <v>0</v>
      </c>
      <c r="O98" s="2">
        <v>0</v>
      </c>
      <c r="P98" s="68">
        <v>1</v>
      </c>
      <c r="Q98" s="2">
        <v>1</v>
      </c>
      <c r="R98" s="2">
        <v>0</v>
      </c>
      <c r="S98" s="68">
        <v>0</v>
      </c>
      <c r="T98" s="2">
        <v>0</v>
      </c>
      <c r="U98" s="2">
        <v>1</v>
      </c>
      <c r="V98" s="68">
        <v>0</v>
      </c>
      <c r="W98" s="4"/>
      <c r="X98" s="2">
        <v>1</v>
      </c>
      <c r="Y98" s="68">
        <v>0</v>
      </c>
    </row>
    <row r="99" spans="1:25" x14ac:dyDescent="0.25">
      <c r="A99" s="2" t="s">
        <v>238</v>
      </c>
      <c r="B99" s="2">
        <v>1</v>
      </c>
      <c r="C99" s="2">
        <v>0</v>
      </c>
      <c r="D99" s="68">
        <v>0</v>
      </c>
      <c r="E99" s="2">
        <v>1</v>
      </c>
      <c r="F99" s="2">
        <v>0</v>
      </c>
      <c r="G99" s="68">
        <v>0</v>
      </c>
      <c r="H99" s="2">
        <v>1</v>
      </c>
      <c r="I99" s="2">
        <v>1</v>
      </c>
      <c r="J99" s="68">
        <v>0</v>
      </c>
      <c r="K99" s="2">
        <v>1</v>
      </c>
      <c r="L99" s="2">
        <v>0</v>
      </c>
      <c r="M99" s="68">
        <v>0</v>
      </c>
      <c r="N99" s="2">
        <v>1</v>
      </c>
      <c r="O99" s="2">
        <v>0</v>
      </c>
      <c r="P99" s="68">
        <v>0</v>
      </c>
      <c r="Q99" s="2">
        <v>1</v>
      </c>
      <c r="R99" s="2">
        <v>0</v>
      </c>
      <c r="S99" s="68">
        <v>0</v>
      </c>
      <c r="T99" s="2">
        <v>0</v>
      </c>
      <c r="U99" s="2">
        <v>1</v>
      </c>
      <c r="V99" s="68">
        <v>0</v>
      </c>
      <c r="W99" s="4"/>
      <c r="X99" s="2">
        <v>1</v>
      </c>
      <c r="Y99" s="68">
        <v>0</v>
      </c>
    </row>
    <row r="100" spans="1:25" x14ac:dyDescent="0.25">
      <c r="A100" s="2" t="s">
        <v>238</v>
      </c>
      <c r="B100" s="2">
        <v>1</v>
      </c>
      <c r="C100" s="2">
        <v>1</v>
      </c>
      <c r="D100" s="68">
        <v>0</v>
      </c>
      <c r="E100" s="2">
        <v>1</v>
      </c>
      <c r="F100" s="2">
        <v>1</v>
      </c>
      <c r="G100" s="68">
        <v>0</v>
      </c>
      <c r="H100" s="2">
        <v>1</v>
      </c>
      <c r="I100" s="2">
        <v>1</v>
      </c>
      <c r="J100" s="68">
        <v>0</v>
      </c>
      <c r="K100" s="2">
        <v>0</v>
      </c>
      <c r="L100" s="2">
        <v>0</v>
      </c>
      <c r="M100" s="68">
        <v>1</v>
      </c>
      <c r="N100" s="2">
        <v>0</v>
      </c>
      <c r="O100" s="2">
        <v>0</v>
      </c>
      <c r="P100" s="68">
        <v>1</v>
      </c>
      <c r="Q100" s="2">
        <v>0</v>
      </c>
      <c r="R100" s="2">
        <v>0</v>
      </c>
      <c r="S100" s="68">
        <v>1</v>
      </c>
      <c r="T100" s="2">
        <v>1</v>
      </c>
      <c r="U100" s="2">
        <v>1</v>
      </c>
      <c r="V100" s="68">
        <v>0</v>
      </c>
      <c r="W100" s="4"/>
      <c r="X100" s="2">
        <v>1</v>
      </c>
      <c r="Y100" s="68">
        <v>0</v>
      </c>
    </row>
    <row r="101" spans="1:25" x14ac:dyDescent="0.25">
      <c r="A101" s="2" t="s">
        <v>238</v>
      </c>
      <c r="B101" s="2">
        <v>1</v>
      </c>
      <c r="C101" s="2">
        <v>1</v>
      </c>
      <c r="D101" s="68">
        <v>0</v>
      </c>
      <c r="E101" s="2">
        <v>1</v>
      </c>
      <c r="F101" s="2">
        <v>1</v>
      </c>
      <c r="G101" s="68">
        <v>0</v>
      </c>
      <c r="H101" s="2">
        <v>0</v>
      </c>
      <c r="I101" s="2">
        <v>1</v>
      </c>
      <c r="J101" s="68">
        <v>0</v>
      </c>
      <c r="K101" s="2">
        <v>1</v>
      </c>
      <c r="L101" s="2">
        <v>0</v>
      </c>
      <c r="M101" s="68">
        <v>0</v>
      </c>
      <c r="N101" s="2">
        <v>0</v>
      </c>
      <c r="O101" s="2">
        <v>0</v>
      </c>
      <c r="P101" s="68">
        <v>1</v>
      </c>
      <c r="Q101" s="2">
        <v>0</v>
      </c>
      <c r="R101" s="2">
        <v>0</v>
      </c>
      <c r="S101" s="68">
        <v>1</v>
      </c>
      <c r="T101" s="2">
        <v>1</v>
      </c>
      <c r="U101" s="2">
        <v>1</v>
      </c>
      <c r="V101" s="68">
        <v>0</v>
      </c>
      <c r="W101" s="4"/>
      <c r="X101" s="2">
        <v>1</v>
      </c>
      <c r="Y101" s="68">
        <v>0</v>
      </c>
    </row>
    <row r="102" spans="1:25" x14ac:dyDescent="0.25">
      <c r="A102" s="2" t="s">
        <v>238</v>
      </c>
      <c r="B102" s="2">
        <v>1</v>
      </c>
      <c r="C102" s="2">
        <v>0</v>
      </c>
      <c r="D102" s="68">
        <v>0</v>
      </c>
      <c r="E102" s="2">
        <v>1</v>
      </c>
      <c r="F102" s="2">
        <v>0</v>
      </c>
      <c r="G102" s="68">
        <v>0</v>
      </c>
      <c r="H102" s="2">
        <v>1</v>
      </c>
      <c r="I102" s="2">
        <v>0</v>
      </c>
      <c r="J102" s="68">
        <v>0</v>
      </c>
      <c r="K102" s="2">
        <v>1</v>
      </c>
      <c r="L102" s="2">
        <v>0</v>
      </c>
      <c r="M102" s="68">
        <v>0</v>
      </c>
      <c r="N102" s="2">
        <v>0</v>
      </c>
      <c r="O102" s="2">
        <v>0</v>
      </c>
      <c r="P102" s="68">
        <v>1</v>
      </c>
      <c r="Q102" s="2">
        <v>0</v>
      </c>
      <c r="R102" s="2">
        <v>0</v>
      </c>
      <c r="S102" s="68">
        <v>1</v>
      </c>
      <c r="T102" s="2">
        <v>1</v>
      </c>
      <c r="U102" s="2">
        <v>1</v>
      </c>
      <c r="V102" s="68">
        <v>0</v>
      </c>
      <c r="W102" s="4"/>
      <c r="X102" s="2">
        <v>1</v>
      </c>
      <c r="Y102" s="68">
        <v>0</v>
      </c>
    </row>
    <row r="103" spans="1:25" x14ac:dyDescent="0.25">
      <c r="A103" s="2" t="s">
        <v>238</v>
      </c>
      <c r="B103" s="2">
        <v>1</v>
      </c>
      <c r="C103" s="2">
        <v>0</v>
      </c>
      <c r="D103" s="68">
        <v>0</v>
      </c>
      <c r="E103" s="2">
        <v>1</v>
      </c>
      <c r="F103" s="2">
        <v>0</v>
      </c>
      <c r="G103" s="68">
        <v>0</v>
      </c>
      <c r="H103" s="2">
        <v>1</v>
      </c>
      <c r="I103" s="2">
        <v>0</v>
      </c>
      <c r="J103" s="68">
        <v>0</v>
      </c>
      <c r="K103" s="2">
        <v>1</v>
      </c>
      <c r="L103" s="2">
        <v>1</v>
      </c>
      <c r="M103" s="68">
        <v>0</v>
      </c>
      <c r="N103" s="2">
        <v>0</v>
      </c>
      <c r="O103" s="2">
        <v>0</v>
      </c>
      <c r="P103" s="68">
        <v>1</v>
      </c>
      <c r="Q103" s="2">
        <v>0</v>
      </c>
      <c r="R103" s="2">
        <v>0</v>
      </c>
      <c r="S103" s="68">
        <v>1</v>
      </c>
      <c r="T103" s="2">
        <v>1</v>
      </c>
      <c r="U103" s="2">
        <v>0</v>
      </c>
      <c r="V103" s="68">
        <v>0</v>
      </c>
      <c r="W103" s="4"/>
      <c r="X103" s="2">
        <v>1</v>
      </c>
      <c r="Y103" s="68">
        <v>0</v>
      </c>
    </row>
    <row r="104" spans="1:25" x14ac:dyDescent="0.25">
      <c r="A104" s="2" t="s">
        <v>238</v>
      </c>
      <c r="B104" s="2">
        <v>1</v>
      </c>
      <c r="C104" s="2">
        <v>0</v>
      </c>
      <c r="D104" s="68">
        <v>0</v>
      </c>
      <c r="E104" s="2">
        <v>1</v>
      </c>
      <c r="F104" s="2">
        <v>1</v>
      </c>
      <c r="G104" s="68">
        <v>0</v>
      </c>
      <c r="H104" s="2">
        <v>1</v>
      </c>
      <c r="I104" s="2">
        <v>0</v>
      </c>
      <c r="J104" s="68">
        <v>0</v>
      </c>
      <c r="K104" s="2">
        <v>1</v>
      </c>
      <c r="L104" s="2">
        <v>1</v>
      </c>
      <c r="M104" s="68">
        <v>0</v>
      </c>
      <c r="N104" s="2">
        <v>0</v>
      </c>
      <c r="O104" s="2">
        <v>0</v>
      </c>
      <c r="P104" s="68">
        <v>1</v>
      </c>
      <c r="Q104" s="2">
        <v>0</v>
      </c>
      <c r="R104" s="2">
        <v>0</v>
      </c>
      <c r="S104" s="68">
        <v>1</v>
      </c>
      <c r="T104" s="2">
        <v>1</v>
      </c>
      <c r="U104" s="2">
        <v>1</v>
      </c>
      <c r="V104" s="68">
        <v>0</v>
      </c>
      <c r="W104" s="4"/>
      <c r="X104" s="2">
        <v>1</v>
      </c>
      <c r="Y104" s="68">
        <v>0</v>
      </c>
    </row>
    <row r="105" spans="1:25" x14ac:dyDescent="0.25">
      <c r="A105" s="2" t="s">
        <v>238</v>
      </c>
      <c r="B105" s="2">
        <v>1</v>
      </c>
      <c r="C105" s="2">
        <v>0</v>
      </c>
      <c r="D105" s="68">
        <v>0</v>
      </c>
      <c r="E105" s="2">
        <v>1</v>
      </c>
      <c r="F105" s="2">
        <v>1</v>
      </c>
      <c r="G105" s="68">
        <v>0</v>
      </c>
      <c r="H105" s="2">
        <v>1</v>
      </c>
      <c r="I105" s="2">
        <v>1</v>
      </c>
      <c r="J105" s="68">
        <v>0</v>
      </c>
      <c r="K105" s="2">
        <v>1</v>
      </c>
      <c r="L105" s="2">
        <v>0</v>
      </c>
      <c r="M105" s="68">
        <v>0</v>
      </c>
      <c r="N105" s="2">
        <v>0</v>
      </c>
      <c r="O105" s="2">
        <v>0</v>
      </c>
      <c r="P105" s="68">
        <v>1</v>
      </c>
      <c r="Q105" s="2">
        <v>0</v>
      </c>
      <c r="R105" s="2">
        <v>0</v>
      </c>
      <c r="S105" s="68">
        <v>1</v>
      </c>
      <c r="T105" s="2">
        <v>1</v>
      </c>
      <c r="U105" s="2">
        <v>0</v>
      </c>
      <c r="V105" s="68">
        <v>0</v>
      </c>
      <c r="W105" s="4"/>
      <c r="X105" s="2">
        <v>1</v>
      </c>
      <c r="Y105" s="68">
        <v>0</v>
      </c>
    </row>
    <row r="106" spans="1:25" x14ac:dyDescent="0.25">
      <c r="A106" s="2" t="s">
        <v>238</v>
      </c>
      <c r="B106" s="2">
        <v>1</v>
      </c>
      <c r="C106" s="2">
        <v>1</v>
      </c>
      <c r="D106" s="68">
        <v>0</v>
      </c>
      <c r="E106" s="2">
        <v>1</v>
      </c>
      <c r="F106" s="2">
        <v>0</v>
      </c>
      <c r="G106" s="68">
        <v>0</v>
      </c>
      <c r="H106" s="2">
        <v>1</v>
      </c>
      <c r="I106" s="2">
        <v>1</v>
      </c>
      <c r="J106" s="68">
        <v>0</v>
      </c>
      <c r="K106" s="2">
        <v>1</v>
      </c>
      <c r="L106" s="2">
        <v>1</v>
      </c>
      <c r="M106" s="68">
        <v>0</v>
      </c>
      <c r="N106" s="2">
        <v>0</v>
      </c>
      <c r="O106" s="2">
        <v>0</v>
      </c>
      <c r="P106" s="68">
        <v>1</v>
      </c>
      <c r="Q106" s="2">
        <v>0</v>
      </c>
      <c r="R106" s="2">
        <v>0</v>
      </c>
      <c r="S106" s="68">
        <v>1</v>
      </c>
      <c r="T106" s="2">
        <v>1</v>
      </c>
      <c r="U106" s="2">
        <v>1</v>
      </c>
      <c r="V106" s="68">
        <v>0</v>
      </c>
      <c r="W106" s="4"/>
      <c r="X106" s="2">
        <v>1</v>
      </c>
      <c r="Y106" s="68">
        <v>0</v>
      </c>
    </row>
    <row r="107" spans="1:25" x14ac:dyDescent="0.25">
      <c r="A107" s="2" t="s">
        <v>238</v>
      </c>
      <c r="B107" s="2">
        <v>1</v>
      </c>
      <c r="C107" s="2">
        <v>0</v>
      </c>
      <c r="D107" s="68">
        <v>0</v>
      </c>
      <c r="E107" s="2">
        <v>1</v>
      </c>
      <c r="F107" s="2">
        <v>0</v>
      </c>
      <c r="G107" s="68">
        <v>0</v>
      </c>
      <c r="H107" s="2">
        <v>1</v>
      </c>
      <c r="I107" s="2">
        <v>0</v>
      </c>
      <c r="J107" s="68">
        <v>0</v>
      </c>
      <c r="K107" s="2">
        <v>1</v>
      </c>
      <c r="L107" s="2">
        <v>0</v>
      </c>
      <c r="M107" s="68">
        <v>0</v>
      </c>
      <c r="N107" s="2">
        <v>1</v>
      </c>
      <c r="O107" s="2">
        <v>0</v>
      </c>
      <c r="P107" s="68">
        <v>0</v>
      </c>
      <c r="Q107" s="2">
        <v>0</v>
      </c>
      <c r="R107" s="2">
        <v>0</v>
      </c>
      <c r="S107" s="68">
        <v>1</v>
      </c>
      <c r="T107" s="2">
        <v>1</v>
      </c>
      <c r="U107" s="2">
        <v>0</v>
      </c>
      <c r="V107" s="68">
        <v>0</v>
      </c>
      <c r="W107" s="4"/>
      <c r="X107" s="2">
        <v>1</v>
      </c>
      <c r="Y107" s="68">
        <v>0</v>
      </c>
    </row>
    <row r="108" spans="1:25" x14ac:dyDescent="0.25">
      <c r="A108" s="2" t="s">
        <v>238</v>
      </c>
      <c r="B108" s="2">
        <v>1</v>
      </c>
      <c r="C108" s="2">
        <v>1</v>
      </c>
      <c r="D108" s="68">
        <v>0</v>
      </c>
      <c r="E108" s="2">
        <v>1</v>
      </c>
      <c r="F108" s="2">
        <v>1</v>
      </c>
      <c r="G108" s="68">
        <v>0</v>
      </c>
      <c r="H108" s="2">
        <v>1</v>
      </c>
      <c r="I108" s="2">
        <v>1</v>
      </c>
      <c r="J108" s="68">
        <v>0</v>
      </c>
      <c r="K108" s="2">
        <v>1</v>
      </c>
      <c r="L108" s="2">
        <v>1</v>
      </c>
      <c r="M108" s="68">
        <v>0</v>
      </c>
      <c r="N108" s="2">
        <v>1</v>
      </c>
      <c r="O108" s="2">
        <v>1</v>
      </c>
      <c r="P108" s="68">
        <v>0</v>
      </c>
      <c r="Q108" s="2">
        <v>0</v>
      </c>
      <c r="R108" s="2">
        <v>0</v>
      </c>
      <c r="S108" s="68">
        <v>1</v>
      </c>
      <c r="T108" s="2">
        <v>1</v>
      </c>
      <c r="U108" s="2">
        <v>1</v>
      </c>
      <c r="V108" s="68">
        <v>0</v>
      </c>
      <c r="W108" s="4"/>
      <c r="X108" s="2">
        <v>1</v>
      </c>
      <c r="Y108" s="68">
        <v>0</v>
      </c>
    </row>
    <row r="109" spans="1:25" x14ac:dyDescent="0.25">
      <c r="A109" s="2" t="s">
        <v>238</v>
      </c>
      <c r="B109" s="2">
        <v>1</v>
      </c>
      <c r="C109" s="2">
        <v>1</v>
      </c>
      <c r="D109" s="68">
        <v>0</v>
      </c>
      <c r="E109" s="2">
        <v>1</v>
      </c>
      <c r="F109" s="2">
        <v>1</v>
      </c>
      <c r="G109" s="68">
        <v>0</v>
      </c>
      <c r="H109" s="2">
        <v>1</v>
      </c>
      <c r="I109" s="2">
        <v>1</v>
      </c>
      <c r="J109" s="68">
        <v>0</v>
      </c>
      <c r="K109" s="2">
        <v>1</v>
      </c>
      <c r="L109" s="2">
        <v>1</v>
      </c>
      <c r="M109" s="68">
        <v>0</v>
      </c>
      <c r="N109" s="2">
        <v>1</v>
      </c>
      <c r="O109" s="2">
        <v>1</v>
      </c>
      <c r="P109" s="68">
        <v>0</v>
      </c>
      <c r="Q109" s="2">
        <v>0</v>
      </c>
      <c r="R109" s="2">
        <v>0</v>
      </c>
      <c r="S109" s="68">
        <v>1</v>
      </c>
      <c r="T109" s="2">
        <v>1</v>
      </c>
      <c r="U109" s="2">
        <v>1</v>
      </c>
      <c r="V109" s="68">
        <v>0</v>
      </c>
      <c r="W109" s="4"/>
      <c r="X109" s="2">
        <v>1</v>
      </c>
      <c r="Y109" s="68">
        <v>0</v>
      </c>
    </row>
    <row r="110" spans="1:25" x14ac:dyDescent="0.25">
      <c r="A110" s="2" t="s">
        <v>238</v>
      </c>
      <c r="B110" s="2">
        <v>1</v>
      </c>
      <c r="C110" s="2">
        <v>0</v>
      </c>
      <c r="D110" s="68">
        <v>0</v>
      </c>
      <c r="E110" s="2">
        <v>1</v>
      </c>
      <c r="F110" s="2">
        <v>0</v>
      </c>
      <c r="G110" s="68">
        <v>0</v>
      </c>
      <c r="H110" s="2">
        <v>1</v>
      </c>
      <c r="I110" s="2">
        <v>0</v>
      </c>
      <c r="J110" s="68">
        <v>0</v>
      </c>
      <c r="K110" s="2">
        <v>1</v>
      </c>
      <c r="L110" s="2">
        <v>0</v>
      </c>
      <c r="M110" s="68">
        <v>0</v>
      </c>
      <c r="N110" s="2">
        <v>0</v>
      </c>
      <c r="O110" s="2">
        <v>0</v>
      </c>
      <c r="P110" s="68">
        <v>1</v>
      </c>
      <c r="Q110" s="2">
        <v>1</v>
      </c>
      <c r="R110" s="2">
        <v>0</v>
      </c>
      <c r="S110" s="68">
        <v>0</v>
      </c>
      <c r="T110" s="2">
        <v>1</v>
      </c>
      <c r="U110" s="2">
        <v>0</v>
      </c>
      <c r="V110" s="68">
        <v>0</v>
      </c>
      <c r="W110" s="4"/>
      <c r="X110" s="2">
        <v>1</v>
      </c>
      <c r="Y110" s="68">
        <v>0</v>
      </c>
    </row>
    <row r="111" spans="1:25" x14ac:dyDescent="0.25">
      <c r="A111" s="2" t="s">
        <v>238</v>
      </c>
      <c r="B111" s="2">
        <v>1</v>
      </c>
      <c r="C111" s="2">
        <v>1</v>
      </c>
      <c r="D111" s="68">
        <v>0</v>
      </c>
      <c r="E111" s="2">
        <v>1</v>
      </c>
      <c r="F111" s="2">
        <v>1</v>
      </c>
      <c r="G111" s="68">
        <v>0</v>
      </c>
      <c r="H111" s="2">
        <v>1</v>
      </c>
      <c r="I111" s="2">
        <v>0</v>
      </c>
      <c r="J111" s="68">
        <v>0</v>
      </c>
      <c r="K111" s="2">
        <v>1</v>
      </c>
      <c r="L111" s="2">
        <v>0</v>
      </c>
      <c r="M111" s="68">
        <v>0</v>
      </c>
      <c r="N111" s="2">
        <v>0</v>
      </c>
      <c r="O111" s="2">
        <v>0</v>
      </c>
      <c r="P111" s="68">
        <v>1</v>
      </c>
      <c r="Q111" s="2">
        <v>1</v>
      </c>
      <c r="R111" s="2">
        <v>0</v>
      </c>
      <c r="S111" s="68">
        <v>0</v>
      </c>
      <c r="T111" s="2">
        <v>1</v>
      </c>
      <c r="U111" s="2">
        <v>1</v>
      </c>
      <c r="V111" s="68">
        <v>0</v>
      </c>
      <c r="W111" s="4"/>
      <c r="X111" s="2">
        <v>1</v>
      </c>
      <c r="Y111" s="68">
        <v>0</v>
      </c>
    </row>
    <row r="112" spans="1:25" x14ac:dyDescent="0.25">
      <c r="A112" s="2" t="s">
        <v>238</v>
      </c>
      <c r="B112" s="2">
        <v>1</v>
      </c>
      <c r="C112" s="2">
        <v>1</v>
      </c>
      <c r="D112" s="68">
        <v>0</v>
      </c>
      <c r="E112" s="2">
        <v>1</v>
      </c>
      <c r="F112" s="2">
        <v>1</v>
      </c>
      <c r="G112" s="68">
        <v>0</v>
      </c>
      <c r="H112" s="2">
        <v>1</v>
      </c>
      <c r="I112" s="2">
        <v>1</v>
      </c>
      <c r="J112" s="68">
        <v>0</v>
      </c>
      <c r="K112" s="2">
        <v>1</v>
      </c>
      <c r="L112" s="2">
        <v>1</v>
      </c>
      <c r="M112" s="68">
        <v>0</v>
      </c>
      <c r="N112" s="2">
        <v>0</v>
      </c>
      <c r="O112" s="2">
        <v>0</v>
      </c>
      <c r="P112" s="68">
        <v>1</v>
      </c>
      <c r="Q112" s="2">
        <v>1</v>
      </c>
      <c r="R112" s="2">
        <v>0</v>
      </c>
      <c r="S112" s="68">
        <v>0</v>
      </c>
      <c r="T112" s="2">
        <v>1</v>
      </c>
      <c r="U112" s="2">
        <v>1</v>
      </c>
      <c r="V112" s="68">
        <v>0</v>
      </c>
      <c r="W112" s="4"/>
      <c r="X112" s="2">
        <v>1</v>
      </c>
      <c r="Y112" s="68">
        <v>0</v>
      </c>
    </row>
    <row r="113" spans="1:25" x14ac:dyDescent="0.25">
      <c r="A113" s="2" t="s">
        <v>238</v>
      </c>
      <c r="B113" s="2">
        <v>1</v>
      </c>
      <c r="C113" s="2">
        <v>1</v>
      </c>
      <c r="D113" s="68">
        <v>0</v>
      </c>
      <c r="E113" s="2">
        <v>1</v>
      </c>
      <c r="F113" s="2">
        <v>1</v>
      </c>
      <c r="G113" s="68">
        <v>0</v>
      </c>
      <c r="H113" s="2">
        <v>1</v>
      </c>
      <c r="I113" s="2">
        <v>1</v>
      </c>
      <c r="J113" s="68">
        <v>0</v>
      </c>
      <c r="K113" s="2">
        <v>1</v>
      </c>
      <c r="L113" s="2">
        <v>0</v>
      </c>
      <c r="M113" s="68">
        <v>0</v>
      </c>
      <c r="N113" s="2">
        <v>1</v>
      </c>
      <c r="O113" s="2">
        <v>0</v>
      </c>
      <c r="P113" s="68">
        <v>0</v>
      </c>
      <c r="Q113" s="2">
        <v>1</v>
      </c>
      <c r="R113" s="2">
        <v>1</v>
      </c>
      <c r="S113" s="68">
        <v>0</v>
      </c>
      <c r="T113" s="2">
        <v>1</v>
      </c>
      <c r="U113" s="2">
        <v>1</v>
      </c>
      <c r="V113" s="68">
        <v>0</v>
      </c>
      <c r="W113" s="4"/>
      <c r="X113" s="2">
        <v>1</v>
      </c>
      <c r="Y113" s="68">
        <v>0</v>
      </c>
    </row>
    <row r="114" spans="1:25" x14ac:dyDescent="0.25">
      <c r="A114" s="2" t="s">
        <v>238</v>
      </c>
      <c r="B114" s="2">
        <v>1</v>
      </c>
      <c r="C114" s="2">
        <v>1</v>
      </c>
      <c r="D114" s="68">
        <v>0</v>
      </c>
      <c r="E114" s="2">
        <v>1</v>
      </c>
      <c r="F114" s="2">
        <v>1</v>
      </c>
      <c r="G114" s="68">
        <v>0</v>
      </c>
      <c r="H114" s="2">
        <v>1</v>
      </c>
      <c r="I114" s="2">
        <v>1</v>
      </c>
      <c r="J114" s="68">
        <v>0</v>
      </c>
      <c r="K114" s="2">
        <v>1</v>
      </c>
      <c r="L114" s="2">
        <v>1</v>
      </c>
      <c r="M114" s="68">
        <v>0</v>
      </c>
      <c r="N114" s="2"/>
      <c r="O114" s="2"/>
      <c r="P114" s="68"/>
      <c r="Q114" s="2">
        <v>1</v>
      </c>
      <c r="R114" s="2">
        <v>1</v>
      </c>
      <c r="S114" s="68">
        <v>0</v>
      </c>
      <c r="T114" s="2">
        <v>1</v>
      </c>
      <c r="U114" s="2">
        <v>1</v>
      </c>
      <c r="V114" s="68">
        <v>0</v>
      </c>
      <c r="W114" s="4"/>
      <c r="X114" s="2">
        <v>1</v>
      </c>
      <c r="Y114" s="68">
        <v>0</v>
      </c>
    </row>
    <row r="115" spans="1:25" x14ac:dyDescent="0.25">
      <c r="A115" s="2" t="s">
        <v>238</v>
      </c>
      <c r="B115" s="2">
        <v>1</v>
      </c>
      <c r="C115" s="2">
        <v>1</v>
      </c>
      <c r="D115" s="68">
        <v>0</v>
      </c>
      <c r="E115" s="2">
        <v>1</v>
      </c>
      <c r="F115" s="2">
        <v>1</v>
      </c>
      <c r="G115" s="68">
        <v>0</v>
      </c>
      <c r="H115" s="2">
        <v>1</v>
      </c>
      <c r="I115" s="2">
        <v>1</v>
      </c>
      <c r="J115" s="68">
        <v>0</v>
      </c>
      <c r="K115" s="2">
        <v>1</v>
      </c>
      <c r="L115" s="2">
        <v>1</v>
      </c>
      <c r="M115" s="68">
        <v>0</v>
      </c>
      <c r="N115" s="2">
        <v>1</v>
      </c>
      <c r="O115" s="2">
        <v>1</v>
      </c>
      <c r="P115" s="68">
        <v>0</v>
      </c>
      <c r="Q115" s="2"/>
      <c r="R115" s="2"/>
      <c r="S115" s="68"/>
      <c r="T115" s="2">
        <v>1</v>
      </c>
      <c r="U115" s="2">
        <v>1</v>
      </c>
      <c r="V115" s="68">
        <v>0</v>
      </c>
      <c r="W115" s="4"/>
      <c r="X115" s="2">
        <v>1</v>
      </c>
      <c r="Y115" s="68">
        <v>0</v>
      </c>
    </row>
    <row r="116" spans="1:25" x14ac:dyDescent="0.25">
      <c r="A116" s="2" t="s">
        <v>238</v>
      </c>
      <c r="B116" s="2">
        <v>1</v>
      </c>
      <c r="C116" s="2">
        <v>0</v>
      </c>
      <c r="D116" s="68">
        <v>0</v>
      </c>
      <c r="E116" s="2">
        <v>1</v>
      </c>
      <c r="F116" s="2">
        <v>0</v>
      </c>
      <c r="G116" s="68">
        <v>0</v>
      </c>
      <c r="H116" s="2"/>
      <c r="I116" s="2"/>
      <c r="J116" s="68"/>
      <c r="K116" s="2">
        <v>1</v>
      </c>
      <c r="L116" s="2">
        <v>0</v>
      </c>
      <c r="M116" s="68">
        <v>0</v>
      </c>
      <c r="N116" s="2">
        <v>1</v>
      </c>
      <c r="O116" s="2">
        <v>0</v>
      </c>
      <c r="P116" s="68">
        <v>0</v>
      </c>
      <c r="Q116" s="2"/>
      <c r="R116" s="2"/>
      <c r="S116" s="68"/>
      <c r="T116" s="2"/>
      <c r="U116" s="2"/>
      <c r="V116" s="68"/>
      <c r="W116" s="4"/>
      <c r="X116" s="2">
        <v>1</v>
      </c>
      <c r="Y116" s="68">
        <v>0</v>
      </c>
    </row>
    <row r="117" spans="1:25" x14ac:dyDescent="0.25">
      <c r="A117" s="2" t="s">
        <v>238</v>
      </c>
      <c r="B117" s="2">
        <v>1</v>
      </c>
      <c r="C117" s="2">
        <v>0</v>
      </c>
      <c r="D117" s="68">
        <v>0</v>
      </c>
      <c r="E117" s="2">
        <v>1</v>
      </c>
      <c r="F117" s="2">
        <v>0</v>
      </c>
      <c r="G117" s="68">
        <v>0</v>
      </c>
      <c r="H117" s="2">
        <v>1</v>
      </c>
      <c r="I117" s="2">
        <v>0</v>
      </c>
      <c r="J117" s="68">
        <v>0</v>
      </c>
      <c r="K117" s="2">
        <v>1</v>
      </c>
      <c r="L117" s="2">
        <v>0</v>
      </c>
      <c r="M117" s="68">
        <v>0</v>
      </c>
      <c r="N117" s="2">
        <v>1</v>
      </c>
      <c r="O117" s="2">
        <v>0</v>
      </c>
      <c r="P117" s="68">
        <v>0</v>
      </c>
      <c r="Q117" s="2">
        <v>1</v>
      </c>
      <c r="R117" s="2">
        <v>0</v>
      </c>
      <c r="S117" s="68">
        <v>0</v>
      </c>
      <c r="T117" s="2">
        <v>1</v>
      </c>
      <c r="U117" s="2">
        <v>0</v>
      </c>
      <c r="V117" s="68">
        <v>0</v>
      </c>
      <c r="W117" s="4"/>
      <c r="X117" s="2"/>
      <c r="Y117" s="68"/>
    </row>
    <row r="118" spans="1:25" x14ac:dyDescent="0.25">
      <c r="A118" s="2" t="s">
        <v>238</v>
      </c>
      <c r="B118" s="2">
        <v>1</v>
      </c>
      <c r="C118" s="2">
        <v>0</v>
      </c>
      <c r="D118" s="68">
        <v>0</v>
      </c>
      <c r="E118" s="2">
        <v>1</v>
      </c>
      <c r="F118" s="2">
        <v>1</v>
      </c>
      <c r="G118" s="68">
        <v>0</v>
      </c>
      <c r="H118" s="2">
        <v>1</v>
      </c>
      <c r="I118" s="2">
        <v>1</v>
      </c>
      <c r="J118" s="68">
        <v>0</v>
      </c>
      <c r="K118" s="2">
        <v>1</v>
      </c>
      <c r="L118" s="2">
        <v>1</v>
      </c>
      <c r="M118" s="68">
        <v>0</v>
      </c>
      <c r="N118" s="2">
        <v>1</v>
      </c>
      <c r="O118" s="2">
        <v>1</v>
      </c>
      <c r="P118" s="68">
        <v>0</v>
      </c>
      <c r="Q118" s="2">
        <v>1</v>
      </c>
      <c r="R118" s="2">
        <v>1</v>
      </c>
      <c r="S118" s="68">
        <v>0</v>
      </c>
      <c r="T118" s="2">
        <v>1</v>
      </c>
      <c r="U118" s="2">
        <v>1</v>
      </c>
      <c r="V118" s="68">
        <v>0</v>
      </c>
      <c r="W118" s="4"/>
      <c r="X118" s="2"/>
      <c r="Y118" s="68"/>
    </row>
    <row r="119" spans="1:25" x14ac:dyDescent="0.25">
      <c r="A119" s="2" t="s">
        <v>238</v>
      </c>
      <c r="B119" s="2">
        <v>1</v>
      </c>
      <c r="C119" s="2">
        <v>0</v>
      </c>
      <c r="D119" s="68">
        <v>0</v>
      </c>
      <c r="E119" s="2">
        <v>1</v>
      </c>
      <c r="F119" s="2">
        <v>0</v>
      </c>
      <c r="G119" s="68">
        <v>0</v>
      </c>
      <c r="H119" s="2">
        <v>1</v>
      </c>
      <c r="I119" s="2">
        <v>0</v>
      </c>
      <c r="J119" s="68">
        <v>0</v>
      </c>
      <c r="K119" s="2"/>
      <c r="L119" s="2"/>
      <c r="M119" s="68"/>
      <c r="N119" s="2">
        <v>1</v>
      </c>
      <c r="O119" s="2">
        <v>1</v>
      </c>
      <c r="P119" s="68">
        <v>0</v>
      </c>
      <c r="Q119" s="2">
        <v>1</v>
      </c>
      <c r="R119" s="2">
        <v>0</v>
      </c>
      <c r="S119" s="68">
        <v>0</v>
      </c>
      <c r="T119" s="2">
        <v>1</v>
      </c>
      <c r="U119" s="2">
        <v>0</v>
      </c>
      <c r="V119" s="68">
        <v>0</v>
      </c>
      <c r="W119" s="4"/>
      <c r="X119" s="2"/>
      <c r="Y119" s="68"/>
    </row>
    <row r="120" spans="1:25" x14ac:dyDescent="0.25">
      <c r="A120" s="2" t="s">
        <v>238</v>
      </c>
      <c r="B120" s="2">
        <v>1</v>
      </c>
      <c r="C120" s="2">
        <v>1</v>
      </c>
      <c r="D120" s="68">
        <v>0</v>
      </c>
      <c r="E120" s="2">
        <v>1</v>
      </c>
      <c r="F120" s="2">
        <v>1</v>
      </c>
      <c r="G120" s="68">
        <v>0</v>
      </c>
      <c r="H120" s="2">
        <v>1</v>
      </c>
      <c r="I120" s="2">
        <v>1</v>
      </c>
      <c r="J120" s="68">
        <v>0</v>
      </c>
      <c r="K120" s="2">
        <v>1</v>
      </c>
      <c r="L120" s="2">
        <v>1</v>
      </c>
      <c r="M120" s="68">
        <v>0</v>
      </c>
      <c r="N120" s="2"/>
      <c r="O120" s="2"/>
      <c r="P120" s="68"/>
      <c r="Q120" s="2"/>
      <c r="R120" s="2"/>
      <c r="S120" s="68"/>
      <c r="T120" s="2">
        <v>1</v>
      </c>
      <c r="U120" s="2">
        <v>1</v>
      </c>
      <c r="V120" s="68">
        <v>0</v>
      </c>
      <c r="W120" s="4"/>
      <c r="X120" s="2"/>
      <c r="Y120" s="68"/>
    </row>
    <row r="121" spans="1:25" x14ac:dyDescent="0.25">
      <c r="A121" s="2" t="s">
        <v>238</v>
      </c>
      <c r="B121" s="2">
        <v>1</v>
      </c>
      <c r="C121" s="2">
        <v>0</v>
      </c>
      <c r="D121" s="68">
        <v>0</v>
      </c>
      <c r="E121" s="2">
        <v>1</v>
      </c>
      <c r="F121" s="2">
        <v>0</v>
      </c>
      <c r="G121" s="68">
        <v>0</v>
      </c>
      <c r="H121" s="2"/>
      <c r="I121" s="2"/>
      <c r="J121" s="68"/>
      <c r="K121" s="2">
        <v>1</v>
      </c>
      <c r="L121" s="2">
        <v>0</v>
      </c>
      <c r="M121" s="68">
        <v>0</v>
      </c>
      <c r="N121" s="2"/>
      <c r="O121" s="2"/>
      <c r="P121" s="68"/>
      <c r="Q121" s="2"/>
      <c r="R121" s="2"/>
      <c r="S121" s="68"/>
      <c r="T121" s="2">
        <v>1</v>
      </c>
      <c r="U121" s="2">
        <v>0</v>
      </c>
      <c r="V121" s="68">
        <v>0</v>
      </c>
      <c r="W121" s="4"/>
      <c r="X121" s="2"/>
      <c r="Y121" s="68"/>
    </row>
    <row r="122" spans="1:25" x14ac:dyDescent="0.25">
      <c r="A122" s="2" t="s">
        <v>238</v>
      </c>
      <c r="B122" s="2">
        <v>1</v>
      </c>
      <c r="C122" s="2">
        <v>0</v>
      </c>
      <c r="D122" s="68">
        <v>0</v>
      </c>
      <c r="E122" s="2">
        <v>1</v>
      </c>
      <c r="F122" s="2">
        <v>0</v>
      </c>
      <c r="G122" s="68">
        <v>0</v>
      </c>
      <c r="H122" s="2">
        <v>1</v>
      </c>
      <c r="I122" s="2">
        <v>0</v>
      </c>
      <c r="J122" s="68">
        <v>0</v>
      </c>
      <c r="K122" s="2">
        <v>1</v>
      </c>
      <c r="L122" s="2">
        <v>1</v>
      </c>
      <c r="M122" s="68">
        <v>0</v>
      </c>
      <c r="N122" s="2"/>
      <c r="O122" s="2"/>
      <c r="P122" s="68"/>
      <c r="Q122" s="2"/>
      <c r="R122" s="2"/>
      <c r="S122" s="68"/>
      <c r="T122" s="2"/>
      <c r="U122" s="2"/>
      <c r="V122" s="68"/>
      <c r="W122" s="4"/>
      <c r="X122" s="2"/>
      <c r="Y122" s="68"/>
    </row>
    <row r="123" spans="1:25" x14ac:dyDescent="0.25">
      <c r="A123" s="2" t="s">
        <v>238</v>
      </c>
      <c r="B123" s="2">
        <v>1</v>
      </c>
      <c r="C123" s="2">
        <v>1</v>
      </c>
      <c r="D123" s="68">
        <v>0</v>
      </c>
      <c r="E123" s="2">
        <v>1</v>
      </c>
      <c r="F123" s="2">
        <v>1</v>
      </c>
      <c r="G123" s="68">
        <v>0</v>
      </c>
      <c r="H123" s="2"/>
      <c r="I123" s="2"/>
      <c r="J123" s="68"/>
      <c r="K123" s="2">
        <v>1</v>
      </c>
      <c r="L123" s="2">
        <v>1</v>
      </c>
      <c r="M123" s="68">
        <v>0</v>
      </c>
      <c r="N123" s="2"/>
      <c r="O123" s="2"/>
      <c r="P123" s="68"/>
      <c r="Q123" s="2"/>
      <c r="R123" s="2"/>
      <c r="S123" s="68"/>
      <c r="T123" s="2"/>
      <c r="U123" s="2"/>
      <c r="V123" s="68"/>
      <c r="W123" s="4"/>
      <c r="X123" s="2"/>
      <c r="Y123" s="68"/>
    </row>
    <row r="124" spans="1:25" x14ac:dyDescent="0.25">
      <c r="A124" s="2" t="s">
        <v>238</v>
      </c>
      <c r="B124" s="2"/>
      <c r="C124" s="2"/>
      <c r="D124" s="68"/>
      <c r="E124" s="2">
        <v>1</v>
      </c>
      <c r="F124" s="2">
        <v>0</v>
      </c>
      <c r="G124" s="68">
        <v>0</v>
      </c>
      <c r="H124" s="2"/>
      <c r="I124" s="2"/>
      <c r="J124" s="68"/>
      <c r="K124" s="2">
        <v>1</v>
      </c>
      <c r="L124" s="2">
        <v>0</v>
      </c>
      <c r="M124" s="68">
        <v>0</v>
      </c>
      <c r="N124" s="2"/>
      <c r="O124" s="2"/>
      <c r="P124" s="68"/>
      <c r="Q124" s="2"/>
      <c r="R124" s="2"/>
      <c r="S124" s="68"/>
      <c r="T124" s="2"/>
      <c r="U124" s="2"/>
      <c r="V124" s="68"/>
      <c r="W124" s="4"/>
      <c r="X124" s="2"/>
      <c r="Y124" s="68"/>
    </row>
    <row r="125" spans="1:25" x14ac:dyDescent="0.25">
      <c r="A125" s="2" t="s">
        <v>238</v>
      </c>
      <c r="B125" s="2"/>
      <c r="C125" s="2"/>
      <c r="D125" s="68"/>
      <c r="E125" s="2">
        <v>1</v>
      </c>
      <c r="F125" s="2">
        <v>1</v>
      </c>
      <c r="G125" s="68">
        <v>0</v>
      </c>
      <c r="H125" s="2"/>
      <c r="I125" s="2"/>
      <c r="J125" s="68"/>
      <c r="K125" s="2">
        <v>1</v>
      </c>
      <c r="L125" s="2">
        <v>1</v>
      </c>
      <c r="M125" s="68">
        <v>0</v>
      </c>
      <c r="N125" s="2"/>
      <c r="O125" s="2"/>
      <c r="P125" s="68"/>
      <c r="Q125" s="2"/>
      <c r="R125" s="2"/>
      <c r="S125" s="68"/>
      <c r="T125" s="2"/>
      <c r="U125" s="2"/>
      <c r="V125" s="68"/>
      <c r="W125" s="4"/>
      <c r="X125" s="2"/>
      <c r="Y125" s="68"/>
    </row>
    <row r="126" spans="1:25" x14ac:dyDescent="0.25">
      <c r="A126" s="2" t="s">
        <v>238</v>
      </c>
      <c r="B126" s="2"/>
      <c r="C126" s="2"/>
      <c r="D126" s="68"/>
      <c r="E126" s="2"/>
      <c r="F126" s="2"/>
      <c r="G126" s="68"/>
      <c r="H126" s="2"/>
      <c r="I126" s="2"/>
      <c r="J126" s="68"/>
      <c r="K126" s="2">
        <v>1</v>
      </c>
      <c r="L126" s="2">
        <v>1</v>
      </c>
      <c r="M126" s="68">
        <v>0</v>
      </c>
      <c r="N126" s="2"/>
      <c r="O126" s="2"/>
      <c r="P126" s="68"/>
      <c r="Q126" s="2"/>
      <c r="R126" s="2"/>
      <c r="S126" s="68"/>
      <c r="T126" s="2"/>
      <c r="U126" s="2"/>
      <c r="V126" s="68"/>
      <c r="W126" s="4"/>
      <c r="X126" s="2"/>
      <c r="Y126" s="68"/>
    </row>
    <row r="127" spans="1:25" x14ac:dyDescent="0.25">
      <c r="A127" s="2" t="s">
        <v>215</v>
      </c>
      <c r="B127" s="2">
        <v>1</v>
      </c>
      <c r="C127" s="2">
        <v>1</v>
      </c>
      <c r="D127" s="68">
        <v>0</v>
      </c>
      <c r="E127" s="2">
        <v>1</v>
      </c>
      <c r="F127" s="2">
        <v>1</v>
      </c>
      <c r="G127" s="68">
        <v>0</v>
      </c>
      <c r="H127" s="2">
        <v>1</v>
      </c>
      <c r="I127" s="2">
        <v>1</v>
      </c>
      <c r="J127" s="68">
        <v>0</v>
      </c>
      <c r="K127" s="2">
        <v>1</v>
      </c>
      <c r="L127" s="2">
        <v>1</v>
      </c>
      <c r="M127" s="68">
        <v>0</v>
      </c>
      <c r="N127" s="2">
        <v>0</v>
      </c>
      <c r="O127" s="2">
        <v>0</v>
      </c>
      <c r="P127" s="68">
        <v>1</v>
      </c>
      <c r="Q127" s="2">
        <v>0</v>
      </c>
      <c r="R127" s="2">
        <v>0</v>
      </c>
      <c r="S127" s="68">
        <v>1</v>
      </c>
      <c r="T127" s="2">
        <v>1</v>
      </c>
      <c r="U127" s="2">
        <v>1</v>
      </c>
      <c r="V127" s="68">
        <v>0</v>
      </c>
      <c r="W127" s="4"/>
      <c r="X127" s="2">
        <v>0</v>
      </c>
      <c r="Y127" s="68">
        <v>1</v>
      </c>
    </row>
    <row r="128" spans="1:25" x14ac:dyDescent="0.25">
      <c r="A128" s="2" t="s">
        <v>215</v>
      </c>
      <c r="B128" s="2">
        <v>1</v>
      </c>
      <c r="C128" s="2">
        <v>1</v>
      </c>
      <c r="D128" s="68">
        <v>0</v>
      </c>
      <c r="E128" s="2">
        <v>1</v>
      </c>
      <c r="F128" s="2">
        <v>1</v>
      </c>
      <c r="G128" s="68">
        <v>0</v>
      </c>
      <c r="H128" s="2"/>
      <c r="I128" s="2"/>
      <c r="J128" s="68"/>
      <c r="K128" s="2">
        <v>1</v>
      </c>
      <c r="L128" s="2">
        <v>0</v>
      </c>
      <c r="M128" s="68">
        <v>0</v>
      </c>
      <c r="N128" s="2"/>
      <c r="O128" s="2"/>
      <c r="P128" s="68"/>
      <c r="Q128" s="2">
        <v>0</v>
      </c>
      <c r="R128" s="2">
        <v>0</v>
      </c>
      <c r="S128" s="68">
        <v>1</v>
      </c>
      <c r="T128" s="2">
        <v>1</v>
      </c>
      <c r="U128" s="2">
        <v>1</v>
      </c>
      <c r="V128" s="68">
        <v>0</v>
      </c>
      <c r="W128" s="4"/>
      <c r="X128" s="2">
        <v>0</v>
      </c>
      <c r="Y128" s="68">
        <v>1</v>
      </c>
    </row>
    <row r="129" spans="1:25" x14ac:dyDescent="0.25">
      <c r="A129" s="2" t="s">
        <v>215</v>
      </c>
      <c r="B129" s="2">
        <v>1</v>
      </c>
      <c r="C129" s="2">
        <v>1</v>
      </c>
      <c r="D129" s="68">
        <v>0</v>
      </c>
      <c r="E129" s="2">
        <v>1</v>
      </c>
      <c r="F129" s="2">
        <v>1</v>
      </c>
      <c r="G129" s="68">
        <v>0</v>
      </c>
      <c r="H129" s="2">
        <v>1</v>
      </c>
      <c r="I129" s="2">
        <v>1</v>
      </c>
      <c r="J129" s="68">
        <v>0</v>
      </c>
      <c r="K129" s="2">
        <v>1</v>
      </c>
      <c r="L129" s="2">
        <v>0</v>
      </c>
      <c r="M129" s="68">
        <v>0</v>
      </c>
      <c r="N129" s="2">
        <v>0</v>
      </c>
      <c r="O129" s="2">
        <v>0</v>
      </c>
      <c r="P129" s="68">
        <v>1</v>
      </c>
      <c r="Q129" s="2">
        <v>1</v>
      </c>
      <c r="R129" s="2">
        <v>0</v>
      </c>
      <c r="S129" s="68">
        <v>0</v>
      </c>
      <c r="T129" s="2">
        <v>1</v>
      </c>
      <c r="U129" s="2">
        <v>1</v>
      </c>
      <c r="V129" s="68">
        <v>0</v>
      </c>
      <c r="W129" s="4"/>
      <c r="X129" s="2">
        <v>0</v>
      </c>
      <c r="Y129" s="68">
        <v>1</v>
      </c>
    </row>
    <row r="130" spans="1:25" x14ac:dyDescent="0.25">
      <c r="A130" s="2" t="s">
        <v>215</v>
      </c>
      <c r="B130" s="2">
        <v>1</v>
      </c>
      <c r="C130" s="2">
        <v>0</v>
      </c>
      <c r="D130" s="68">
        <v>0</v>
      </c>
      <c r="E130" s="2">
        <v>1</v>
      </c>
      <c r="F130" s="2">
        <v>0</v>
      </c>
      <c r="G130" s="68">
        <v>0</v>
      </c>
      <c r="H130" s="2">
        <v>1</v>
      </c>
      <c r="I130" s="2">
        <v>1</v>
      </c>
      <c r="J130" s="68">
        <v>0</v>
      </c>
      <c r="K130" s="2">
        <v>0</v>
      </c>
      <c r="L130" s="2">
        <v>0</v>
      </c>
      <c r="M130" s="68">
        <v>1</v>
      </c>
      <c r="N130" s="2">
        <v>0</v>
      </c>
      <c r="O130" s="2">
        <v>0</v>
      </c>
      <c r="P130" s="68">
        <v>1</v>
      </c>
      <c r="Q130" s="2">
        <v>0</v>
      </c>
      <c r="R130" s="2">
        <v>0</v>
      </c>
      <c r="S130" s="68">
        <v>1</v>
      </c>
      <c r="T130" s="2">
        <v>0</v>
      </c>
      <c r="U130" s="2">
        <v>1</v>
      </c>
      <c r="V130" s="68">
        <v>0</v>
      </c>
      <c r="W130" s="4"/>
      <c r="X130" s="2">
        <v>1</v>
      </c>
      <c r="Y130" s="68">
        <v>0</v>
      </c>
    </row>
    <row r="131" spans="1:25" x14ac:dyDescent="0.25">
      <c r="A131" s="2" t="s">
        <v>215</v>
      </c>
      <c r="B131" s="2">
        <v>1</v>
      </c>
      <c r="C131" s="2">
        <v>1</v>
      </c>
      <c r="D131" s="68">
        <v>0</v>
      </c>
      <c r="E131" s="2">
        <v>0</v>
      </c>
      <c r="F131" s="2">
        <v>1</v>
      </c>
      <c r="G131" s="68">
        <v>0</v>
      </c>
      <c r="H131" s="2">
        <v>1</v>
      </c>
      <c r="I131" s="2">
        <v>1</v>
      </c>
      <c r="J131" s="68">
        <v>0</v>
      </c>
      <c r="K131" s="2">
        <v>0</v>
      </c>
      <c r="L131" s="2">
        <v>1</v>
      </c>
      <c r="M131" s="68">
        <v>0</v>
      </c>
      <c r="N131" s="2">
        <v>0</v>
      </c>
      <c r="O131" s="2">
        <v>0</v>
      </c>
      <c r="P131" s="68">
        <v>1</v>
      </c>
      <c r="Q131" s="2">
        <v>0</v>
      </c>
      <c r="R131" s="2">
        <v>0</v>
      </c>
      <c r="S131" s="68">
        <v>1</v>
      </c>
      <c r="T131" s="2">
        <v>0</v>
      </c>
      <c r="U131" s="2">
        <v>0</v>
      </c>
      <c r="V131" s="68">
        <v>1</v>
      </c>
      <c r="W131" s="4"/>
      <c r="X131" s="2">
        <v>1</v>
      </c>
      <c r="Y131" s="68">
        <v>0</v>
      </c>
    </row>
    <row r="132" spans="1:25" x14ac:dyDescent="0.25">
      <c r="A132" s="2" t="s">
        <v>215</v>
      </c>
      <c r="B132" s="2">
        <v>1</v>
      </c>
      <c r="C132" s="2">
        <v>1</v>
      </c>
      <c r="D132" s="68">
        <v>0</v>
      </c>
      <c r="E132" s="2">
        <v>1</v>
      </c>
      <c r="F132" s="2">
        <v>1</v>
      </c>
      <c r="G132" s="68">
        <v>0</v>
      </c>
      <c r="H132" s="2">
        <v>1</v>
      </c>
      <c r="I132" s="2">
        <v>1</v>
      </c>
      <c r="J132" s="68">
        <v>0</v>
      </c>
      <c r="K132" s="2">
        <v>0</v>
      </c>
      <c r="L132" s="2">
        <v>0</v>
      </c>
      <c r="M132" s="68">
        <v>1</v>
      </c>
      <c r="N132" s="2">
        <v>0</v>
      </c>
      <c r="O132" s="2">
        <v>0</v>
      </c>
      <c r="P132" s="68">
        <v>1</v>
      </c>
      <c r="Q132" s="2">
        <v>0</v>
      </c>
      <c r="R132" s="2">
        <v>0</v>
      </c>
      <c r="S132" s="68">
        <v>1</v>
      </c>
      <c r="T132" s="2">
        <v>0</v>
      </c>
      <c r="U132" s="2">
        <v>0</v>
      </c>
      <c r="V132" s="68">
        <v>1</v>
      </c>
      <c r="W132" s="4"/>
      <c r="X132" s="2">
        <v>1</v>
      </c>
      <c r="Y132" s="68">
        <v>0</v>
      </c>
    </row>
    <row r="133" spans="1:25" x14ac:dyDescent="0.25">
      <c r="A133" s="3" t="s">
        <v>215</v>
      </c>
      <c r="B133" s="3">
        <v>1</v>
      </c>
      <c r="C133" s="3">
        <v>0</v>
      </c>
      <c r="D133" s="68">
        <v>0</v>
      </c>
      <c r="E133" s="3">
        <v>1</v>
      </c>
      <c r="F133" s="3">
        <v>1</v>
      </c>
      <c r="G133" s="68">
        <v>0</v>
      </c>
      <c r="H133" s="3">
        <v>0</v>
      </c>
      <c r="I133" s="3">
        <v>0</v>
      </c>
      <c r="J133" s="68">
        <v>1</v>
      </c>
      <c r="K133" s="3">
        <v>1</v>
      </c>
      <c r="L133" s="3">
        <v>1</v>
      </c>
      <c r="M133" s="68">
        <v>0</v>
      </c>
      <c r="N133" s="3">
        <v>0</v>
      </c>
      <c r="O133" s="3">
        <v>0</v>
      </c>
      <c r="P133" s="68">
        <v>1</v>
      </c>
      <c r="Q133" s="3">
        <v>0</v>
      </c>
      <c r="R133" s="3">
        <v>0</v>
      </c>
      <c r="S133" s="68">
        <v>1</v>
      </c>
      <c r="T133" s="3">
        <v>0</v>
      </c>
      <c r="U133" s="3">
        <v>1</v>
      </c>
      <c r="V133" s="68">
        <v>0</v>
      </c>
      <c r="W133" s="3"/>
      <c r="X133" s="3">
        <v>1</v>
      </c>
      <c r="Y133" s="68">
        <v>0</v>
      </c>
    </row>
    <row r="134" spans="1:25" x14ac:dyDescent="0.25">
      <c r="A134" s="2" t="s">
        <v>215</v>
      </c>
      <c r="B134" s="2">
        <v>1</v>
      </c>
      <c r="C134" s="2">
        <v>1</v>
      </c>
      <c r="D134" s="68">
        <v>0</v>
      </c>
      <c r="E134" s="2">
        <v>1</v>
      </c>
      <c r="F134" s="2">
        <v>1</v>
      </c>
      <c r="G134" s="68">
        <v>0</v>
      </c>
      <c r="H134" s="2">
        <v>1</v>
      </c>
      <c r="I134" s="2">
        <v>1</v>
      </c>
      <c r="J134" s="68">
        <v>0</v>
      </c>
      <c r="K134" s="2">
        <v>1</v>
      </c>
      <c r="L134" s="2">
        <v>0</v>
      </c>
      <c r="M134" s="68">
        <v>0</v>
      </c>
      <c r="N134" s="2">
        <v>1</v>
      </c>
      <c r="O134" s="2">
        <v>0</v>
      </c>
      <c r="P134" s="68">
        <v>0</v>
      </c>
      <c r="Q134" s="2">
        <v>1</v>
      </c>
      <c r="R134" s="2">
        <v>0</v>
      </c>
      <c r="S134" s="68">
        <v>0</v>
      </c>
      <c r="T134" s="2">
        <v>0</v>
      </c>
      <c r="U134" s="2">
        <v>1</v>
      </c>
      <c r="V134" s="68">
        <v>0</v>
      </c>
      <c r="W134" s="4"/>
      <c r="X134" s="2">
        <v>1</v>
      </c>
      <c r="Y134" s="68">
        <v>0</v>
      </c>
    </row>
    <row r="135" spans="1:25" x14ac:dyDescent="0.25">
      <c r="A135" s="2" t="s">
        <v>215</v>
      </c>
      <c r="B135" s="2">
        <v>1</v>
      </c>
      <c r="C135" s="2">
        <v>1</v>
      </c>
      <c r="D135" s="68">
        <v>0</v>
      </c>
      <c r="E135" s="2">
        <v>1</v>
      </c>
      <c r="F135" s="2">
        <v>1</v>
      </c>
      <c r="G135" s="68">
        <v>0</v>
      </c>
      <c r="H135" s="2">
        <v>1</v>
      </c>
      <c r="I135" s="2">
        <v>1</v>
      </c>
      <c r="J135" s="68">
        <v>0</v>
      </c>
      <c r="K135" s="2">
        <v>1</v>
      </c>
      <c r="L135" s="2">
        <v>1</v>
      </c>
      <c r="M135" s="68">
        <v>0</v>
      </c>
      <c r="N135" s="2"/>
      <c r="O135" s="2"/>
      <c r="P135" s="68"/>
      <c r="Q135" s="2"/>
      <c r="R135" s="2"/>
      <c r="S135" s="68"/>
      <c r="T135" s="2">
        <v>0</v>
      </c>
      <c r="U135" s="2">
        <v>1</v>
      </c>
      <c r="V135" s="68">
        <v>0</v>
      </c>
      <c r="W135" s="4"/>
      <c r="X135" s="2">
        <v>1</v>
      </c>
      <c r="Y135" s="68">
        <v>0</v>
      </c>
    </row>
    <row r="136" spans="1:25" x14ac:dyDescent="0.25">
      <c r="A136" s="2" t="s">
        <v>215</v>
      </c>
      <c r="B136" s="2">
        <v>1</v>
      </c>
      <c r="C136" s="2">
        <v>0</v>
      </c>
      <c r="D136" s="68">
        <v>0</v>
      </c>
      <c r="E136" s="2">
        <v>1</v>
      </c>
      <c r="F136" s="2">
        <v>1</v>
      </c>
      <c r="G136" s="68">
        <v>0</v>
      </c>
      <c r="H136" s="2">
        <v>1</v>
      </c>
      <c r="I136" s="2">
        <v>0</v>
      </c>
      <c r="J136" s="68">
        <v>0</v>
      </c>
      <c r="K136" s="2">
        <v>1</v>
      </c>
      <c r="L136" s="2">
        <v>0</v>
      </c>
      <c r="M136" s="68">
        <v>0</v>
      </c>
      <c r="N136" s="2">
        <v>0</v>
      </c>
      <c r="O136" s="2">
        <v>0</v>
      </c>
      <c r="P136" s="68">
        <v>1</v>
      </c>
      <c r="Q136" s="2">
        <v>0</v>
      </c>
      <c r="R136" s="2">
        <v>0</v>
      </c>
      <c r="S136" s="68">
        <v>1</v>
      </c>
      <c r="T136" s="2">
        <v>1</v>
      </c>
      <c r="U136" s="2">
        <v>1</v>
      </c>
      <c r="V136" s="68">
        <v>0</v>
      </c>
      <c r="W136" s="4"/>
      <c r="X136" s="2">
        <v>1</v>
      </c>
      <c r="Y136" s="68">
        <v>0</v>
      </c>
    </row>
    <row r="137" spans="1:25" x14ac:dyDescent="0.25">
      <c r="A137" s="2" t="s">
        <v>215</v>
      </c>
      <c r="B137" s="2">
        <v>1</v>
      </c>
      <c r="C137" s="2">
        <v>1</v>
      </c>
      <c r="D137" s="68">
        <v>0</v>
      </c>
      <c r="E137" s="2">
        <v>1</v>
      </c>
      <c r="F137" s="2">
        <v>1</v>
      </c>
      <c r="G137" s="68">
        <v>0</v>
      </c>
      <c r="H137" s="2">
        <v>1</v>
      </c>
      <c r="I137" s="2">
        <v>1</v>
      </c>
      <c r="J137" s="68">
        <v>0</v>
      </c>
      <c r="K137" s="2">
        <v>1</v>
      </c>
      <c r="L137" s="2">
        <v>1</v>
      </c>
      <c r="M137" s="68">
        <v>0</v>
      </c>
      <c r="N137" s="2">
        <v>0</v>
      </c>
      <c r="O137" s="2">
        <v>0</v>
      </c>
      <c r="P137" s="68">
        <v>1</v>
      </c>
      <c r="Q137" s="2">
        <v>0</v>
      </c>
      <c r="R137" s="2">
        <v>0</v>
      </c>
      <c r="S137" s="68">
        <v>1</v>
      </c>
      <c r="T137" s="2">
        <v>1</v>
      </c>
      <c r="U137" s="2">
        <v>1</v>
      </c>
      <c r="V137" s="68">
        <v>0</v>
      </c>
      <c r="W137" s="4"/>
      <c r="X137" s="2">
        <v>1</v>
      </c>
      <c r="Y137" s="68">
        <v>0</v>
      </c>
    </row>
    <row r="138" spans="1:25" x14ac:dyDescent="0.25">
      <c r="A138" s="2" t="s">
        <v>215</v>
      </c>
      <c r="B138" s="2">
        <v>1</v>
      </c>
      <c r="C138" s="2">
        <v>1</v>
      </c>
      <c r="D138" s="68">
        <v>0</v>
      </c>
      <c r="E138" s="2">
        <v>1</v>
      </c>
      <c r="F138" s="2">
        <v>1</v>
      </c>
      <c r="G138" s="68">
        <v>0</v>
      </c>
      <c r="H138" s="2">
        <v>1</v>
      </c>
      <c r="I138" s="2">
        <v>1</v>
      </c>
      <c r="J138" s="68">
        <v>0</v>
      </c>
      <c r="K138" s="2">
        <v>1</v>
      </c>
      <c r="L138" s="2">
        <v>1</v>
      </c>
      <c r="M138" s="68">
        <v>0</v>
      </c>
      <c r="N138" s="2">
        <v>0</v>
      </c>
      <c r="O138" s="2">
        <v>0</v>
      </c>
      <c r="P138" s="68">
        <v>1</v>
      </c>
      <c r="Q138" s="2">
        <v>0</v>
      </c>
      <c r="R138" s="2">
        <v>0</v>
      </c>
      <c r="S138" s="68">
        <v>1</v>
      </c>
      <c r="T138" s="2">
        <v>1</v>
      </c>
      <c r="U138" s="2">
        <v>1</v>
      </c>
      <c r="V138" s="68">
        <v>0</v>
      </c>
      <c r="W138" s="4"/>
      <c r="X138" s="2">
        <v>1</v>
      </c>
      <c r="Y138" s="68">
        <v>0</v>
      </c>
    </row>
    <row r="139" spans="1:25" x14ac:dyDescent="0.25">
      <c r="A139" s="2" t="s">
        <v>215</v>
      </c>
      <c r="B139" s="2">
        <v>1</v>
      </c>
      <c r="C139" s="2">
        <v>0</v>
      </c>
      <c r="D139" s="68">
        <v>0</v>
      </c>
      <c r="E139" s="2">
        <v>1</v>
      </c>
      <c r="F139" s="2">
        <v>1</v>
      </c>
      <c r="G139" s="68">
        <v>0</v>
      </c>
      <c r="H139" s="2">
        <v>1</v>
      </c>
      <c r="I139" s="2">
        <v>1</v>
      </c>
      <c r="J139" s="68">
        <v>0</v>
      </c>
      <c r="K139" s="2">
        <v>1</v>
      </c>
      <c r="L139" s="2">
        <v>0</v>
      </c>
      <c r="M139" s="68">
        <v>0</v>
      </c>
      <c r="N139" s="2">
        <v>0</v>
      </c>
      <c r="O139" s="2">
        <v>0</v>
      </c>
      <c r="P139" s="68">
        <v>1</v>
      </c>
      <c r="Q139" s="2">
        <v>1</v>
      </c>
      <c r="R139" s="2">
        <v>0</v>
      </c>
      <c r="S139" s="68">
        <v>0</v>
      </c>
      <c r="T139" s="2">
        <v>1</v>
      </c>
      <c r="U139" s="2">
        <v>1</v>
      </c>
      <c r="V139" s="68">
        <v>0</v>
      </c>
      <c r="W139" s="4"/>
      <c r="X139" s="2">
        <v>1</v>
      </c>
      <c r="Y139" s="68">
        <v>0</v>
      </c>
    </row>
    <row r="140" spans="1:25" x14ac:dyDescent="0.25">
      <c r="A140" s="2" t="s">
        <v>215</v>
      </c>
      <c r="B140" s="2">
        <v>1</v>
      </c>
      <c r="C140" s="2">
        <v>0</v>
      </c>
      <c r="D140" s="68">
        <v>0</v>
      </c>
      <c r="E140" s="2">
        <v>1</v>
      </c>
      <c r="F140" s="2">
        <v>0</v>
      </c>
      <c r="G140" s="68">
        <v>0</v>
      </c>
      <c r="H140" s="2"/>
      <c r="I140" s="2"/>
      <c r="J140" s="68"/>
      <c r="K140" s="2"/>
      <c r="L140" s="2"/>
      <c r="M140" s="68"/>
      <c r="N140" s="2">
        <v>1</v>
      </c>
      <c r="O140" s="2">
        <v>0</v>
      </c>
      <c r="P140" s="68">
        <v>0</v>
      </c>
      <c r="Q140" s="2">
        <v>1</v>
      </c>
      <c r="R140" s="2">
        <v>0</v>
      </c>
      <c r="S140" s="68">
        <v>0</v>
      </c>
      <c r="T140" s="2"/>
      <c r="U140" s="2"/>
      <c r="V140" s="68"/>
      <c r="W140" s="4"/>
      <c r="X140" s="2"/>
      <c r="Y140" s="68"/>
    </row>
    <row r="141" spans="1:25" x14ac:dyDescent="0.25">
      <c r="A141" s="43" t="s">
        <v>215</v>
      </c>
      <c r="B141" s="2">
        <v>1</v>
      </c>
      <c r="C141" s="2">
        <v>0</v>
      </c>
      <c r="D141" s="68">
        <v>0</v>
      </c>
      <c r="E141" s="2">
        <v>0</v>
      </c>
      <c r="F141" s="2">
        <v>0</v>
      </c>
      <c r="G141" s="68">
        <v>1</v>
      </c>
      <c r="H141" s="2">
        <v>0</v>
      </c>
      <c r="I141" s="2">
        <v>0</v>
      </c>
      <c r="J141" s="68">
        <v>1</v>
      </c>
      <c r="K141" s="2">
        <v>0</v>
      </c>
      <c r="L141" s="2">
        <v>0</v>
      </c>
      <c r="M141" s="68">
        <v>1</v>
      </c>
      <c r="N141" s="2">
        <v>0</v>
      </c>
      <c r="O141" s="2">
        <v>0</v>
      </c>
      <c r="P141" s="68">
        <v>1</v>
      </c>
      <c r="Q141" s="2">
        <v>0</v>
      </c>
      <c r="R141" s="2">
        <v>0</v>
      </c>
      <c r="S141" s="68">
        <v>1</v>
      </c>
      <c r="T141" s="2">
        <v>0</v>
      </c>
      <c r="U141" s="2">
        <v>0</v>
      </c>
      <c r="V141" s="68">
        <v>1</v>
      </c>
      <c r="W141" s="4"/>
      <c r="X141" s="2">
        <v>0</v>
      </c>
      <c r="Y141" s="68">
        <v>1</v>
      </c>
    </row>
    <row r="142" spans="1:25" x14ac:dyDescent="0.25">
      <c r="A142" s="19"/>
      <c r="B142" s="19"/>
      <c r="C142" s="19"/>
      <c r="E142" s="19"/>
      <c r="F142" s="19"/>
      <c r="H142" s="19"/>
      <c r="I142" s="19"/>
      <c r="K142" s="19"/>
      <c r="L142" s="19"/>
      <c r="N142" s="19"/>
      <c r="O142" s="19"/>
      <c r="Q142" s="19"/>
      <c r="R142" s="19"/>
      <c r="T142" s="19"/>
      <c r="U142" s="19"/>
      <c r="W142" s="19"/>
      <c r="X142" s="19"/>
    </row>
    <row r="143" spans="1:25" x14ac:dyDescent="0.25">
      <c r="B143">
        <f t="shared" ref="B143:V143" si="0">SUM(B6:B142)</f>
        <v>121</v>
      </c>
      <c r="C143" s="19">
        <f t="shared" si="0"/>
        <v>61</v>
      </c>
      <c r="D143" s="66">
        <f t="shared" si="0"/>
        <v>10</v>
      </c>
      <c r="E143" s="19">
        <f t="shared" si="0"/>
        <v>126</v>
      </c>
      <c r="F143" s="19">
        <f t="shared" si="0"/>
        <v>90</v>
      </c>
      <c r="G143" s="66">
        <f t="shared" si="0"/>
        <v>5</v>
      </c>
      <c r="H143" s="19">
        <f t="shared" si="0"/>
        <v>100</v>
      </c>
      <c r="I143" s="19">
        <f t="shared" si="0"/>
        <v>61</v>
      </c>
      <c r="J143" s="66">
        <f t="shared" si="0"/>
        <v>21</v>
      </c>
      <c r="K143" s="19">
        <f t="shared" si="0"/>
        <v>85</v>
      </c>
      <c r="L143" s="19">
        <f t="shared" si="0"/>
        <v>40</v>
      </c>
      <c r="M143" s="66">
        <f t="shared" si="0"/>
        <v>38</v>
      </c>
      <c r="N143" s="19">
        <f t="shared" si="0"/>
        <v>21</v>
      </c>
      <c r="O143" s="19">
        <f t="shared" si="0"/>
        <v>8</v>
      </c>
      <c r="P143" s="66">
        <f t="shared" si="0"/>
        <v>91</v>
      </c>
      <c r="Q143" s="19">
        <f t="shared" si="0"/>
        <v>38</v>
      </c>
      <c r="R143" s="19">
        <f t="shared" si="0"/>
        <v>11</v>
      </c>
      <c r="S143" s="66">
        <f t="shared" si="0"/>
        <v>77</v>
      </c>
      <c r="T143" s="19">
        <f t="shared" si="0"/>
        <v>83</v>
      </c>
      <c r="U143" s="19">
        <f t="shared" si="0"/>
        <v>69</v>
      </c>
      <c r="V143" s="66">
        <f t="shared" si="0"/>
        <v>31</v>
      </c>
      <c r="W143" s="19"/>
      <c r="X143" s="19">
        <f>SUM(X6:X142)</f>
        <v>52</v>
      </c>
      <c r="Y143" s="66">
        <f>SUM(Y6:Y142)</f>
        <v>68</v>
      </c>
    </row>
    <row r="144" spans="1:25" x14ac:dyDescent="0.25">
      <c r="B144" s="19" t="s">
        <v>547</v>
      </c>
      <c r="C144" s="19" t="s">
        <v>547</v>
      </c>
      <c r="D144" s="66" t="s">
        <v>547</v>
      </c>
      <c r="E144" s="19" t="s">
        <v>297</v>
      </c>
      <c r="F144" s="19" t="s">
        <v>297</v>
      </c>
      <c r="G144" s="66" t="s">
        <v>297</v>
      </c>
      <c r="H144" s="19" t="s">
        <v>550</v>
      </c>
      <c r="I144" s="19" t="s">
        <v>550</v>
      </c>
      <c r="J144" s="66" t="s">
        <v>550</v>
      </c>
      <c r="K144" s="19" t="s">
        <v>551</v>
      </c>
      <c r="L144" s="19" t="s">
        <v>551</v>
      </c>
      <c r="M144" s="66" t="s">
        <v>551</v>
      </c>
      <c r="N144" s="19" t="s">
        <v>552</v>
      </c>
      <c r="O144" s="19" t="s">
        <v>552</v>
      </c>
      <c r="P144" s="66" t="s">
        <v>552</v>
      </c>
      <c r="Q144" s="19" t="s">
        <v>553</v>
      </c>
      <c r="R144" s="19" t="s">
        <v>553</v>
      </c>
      <c r="S144" s="66" t="s">
        <v>553</v>
      </c>
      <c r="T144" s="19" t="s">
        <v>554</v>
      </c>
      <c r="U144" s="19" t="s">
        <v>554</v>
      </c>
      <c r="V144" s="66" t="s">
        <v>554</v>
      </c>
      <c r="W144" s="19"/>
      <c r="X144" s="19" t="s">
        <v>555</v>
      </c>
      <c r="Y144" s="66" t="s">
        <v>555</v>
      </c>
    </row>
  </sheetData>
  <sortState ref="A6:Y141">
    <sortCondition ref="A6:A141"/>
  </sortState>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9"/>
  <sheetViews>
    <sheetView workbookViewId="0"/>
  </sheetViews>
  <sheetFormatPr defaultRowHeight="15" x14ac:dyDescent="0.25"/>
  <cols>
    <col min="5" max="5" width="19" bestFit="1" customWidth="1"/>
    <col min="8" max="8" width="17.85546875" customWidth="1"/>
    <col min="9" max="9" width="8.140625" customWidth="1"/>
    <col min="10" max="10" width="2.5703125" customWidth="1"/>
    <col min="12" max="12" width="7.28515625" customWidth="1"/>
    <col min="13" max="13" width="2.28515625" customWidth="1"/>
    <col min="16" max="16" width="2" customWidth="1"/>
  </cols>
  <sheetData>
    <row r="1" spans="1:18" x14ac:dyDescent="0.25">
      <c r="A1" s="10" t="s">
        <v>367</v>
      </c>
    </row>
    <row r="3" spans="1:18" x14ac:dyDescent="0.25">
      <c r="E3" t="s">
        <v>279</v>
      </c>
      <c r="H3" s="19" t="s">
        <v>299</v>
      </c>
      <c r="I3" s="19"/>
    </row>
    <row r="4" spans="1:18" x14ac:dyDescent="0.25">
      <c r="A4" s="2" t="s">
        <v>236</v>
      </c>
      <c r="B4" s="2">
        <v>5</v>
      </c>
      <c r="E4" s="19" t="s">
        <v>278</v>
      </c>
      <c r="F4" s="34">
        <f>B139/134</f>
        <v>74.447761194029852</v>
      </c>
      <c r="H4" s="19"/>
      <c r="I4" s="19" t="s">
        <v>278</v>
      </c>
    </row>
    <row r="5" spans="1:18" x14ac:dyDescent="0.25">
      <c r="A5" s="3" t="s">
        <v>236</v>
      </c>
      <c r="B5" s="3">
        <v>5</v>
      </c>
      <c r="H5" s="19" t="s">
        <v>280</v>
      </c>
      <c r="I5" s="34">
        <f>I47/35</f>
        <v>73.571428571428569</v>
      </c>
    </row>
    <row r="6" spans="1:18" x14ac:dyDescent="0.25">
      <c r="A6" s="2" t="s">
        <v>236</v>
      </c>
      <c r="B6" s="2">
        <v>10</v>
      </c>
      <c r="H6" s="19" t="s">
        <v>274</v>
      </c>
      <c r="I6" s="34">
        <f>L17/5</f>
        <v>87</v>
      </c>
    </row>
    <row r="7" spans="1:18" x14ac:dyDescent="0.25">
      <c r="A7" s="2" t="s">
        <v>236</v>
      </c>
      <c r="B7" s="2">
        <v>20</v>
      </c>
      <c r="H7" s="19" t="s">
        <v>281</v>
      </c>
      <c r="I7" s="34">
        <f>O93/81</f>
        <v>77.098765432098759</v>
      </c>
    </row>
    <row r="8" spans="1:18" x14ac:dyDescent="0.25">
      <c r="A8" s="2" t="s">
        <v>236</v>
      </c>
      <c r="B8" s="2">
        <v>40</v>
      </c>
      <c r="H8" s="19" t="s">
        <v>282</v>
      </c>
      <c r="I8" s="34">
        <f>R25/13</f>
        <v>55.46153846153846</v>
      </c>
    </row>
    <row r="9" spans="1:18" x14ac:dyDescent="0.25">
      <c r="A9" s="2" t="s">
        <v>236</v>
      </c>
      <c r="B9" s="2">
        <v>42</v>
      </c>
      <c r="H9" s="19" t="s">
        <v>283</v>
      </c>
      <c r="I9" s="19">
        <v>74</v>
      </c>
    </row>
    <row r="10" spans="1:18" x14ac:dyDescent="0.25">
      <c r="A10" s="2" t="s">
        <v>236</v>
      </c>
      <c r="B10" s="2">
        <v>50</v>
      </c>
    </row>
    <row r="11" spans="1:18" x14ac:dyDescent="0.25">
      <c r="A11" s="2" t="s">
        <v>236</v>
      </c>
      <c r="B11" s="2">
        <v>60</v>
      </c>
      <c r="H11" s="2" t="s">
        <v>236</v>
      </c>
      <c r="I11" s="2">
        <v>5</v>
      </c>
      <c r="K11" s="2" t="s">
        <v>237</v>
      </c>
      <c r="L11" s="2">
        <v>75</v>
      </c>
      <c r="N11" s="2" t="s">
        <v>238</v>
      </c>
      <c r="O11" s="2">
        <v>1</v>
      </c>
      <c r="Q11" s="2" t="s">
        <v>215</v>
      </c>
      <c r="R11" s="2">
        <v>5</v>
      </c>
    </row>
    <row r="12" spans="1:18" x14ac:dyDescent="0.25">
      <c r="A12" s="2" t="s">
        <v>236</v>
      </c>
      <c r="B12" s="2">
        <v>70</v>
      </c>
      <c r="H12" s="3" t="s">
        <v>236</v>
      </c>
      <c r="I12" s="3">
        <v>5</v>
      </c>
      <c r="K12" s="2" t="s">
        <v>237</v>
      </c>
      <c r="L12" s="2">
        <v>85</v>
      </c>
      <c r="N12" s="2" t="s">
        <v>238</v>
      </c>
      <c r="O12" s="2">
        <v>10</v>
      </c>
      <c r="Q12" s="2" t="s">
        <v>215</v>
      </c>
      <c r="R12" s="2">
        <v>10</v>
      </c>
    </row>
    <row r="13" spans="1:18" x14ac:dyDescent="0.25">
      <c r="A13" s="2" t="s">
        <v>236</v>
      </c>
      <c r="B13" s="2">
        <v>75</v>
      </c>
      <c r="H13" s="2" t="s">
        <v>236</v>
      </c>
      <c r="I13" s="2">
        <v>10</v>
      </c>
      <c r="K13" s="2" t="s">
        <v>237</v>
      </c>
      <c r="L13" s="2">
        <v>90</v>
      </c>
      <c r="N13" s="2" t="s">
        <v>238</v>
      </c>
      <c r="O13" s="2">
        <v>10</v>
      </c>
      <c r="Q13" s="2" t="s">
        <v>215</v>
      </c>
      <c r="R13" s="2">
        <v>15</v>
      </c>
    </row>
    <row r="14" spans="1:18" x14ac:dyDescent="0.25">
      <c r="A14" s="2" t="s">
        <v>236</v>
      </c>
      <c r="B14" s="2">
        <v>75</v>
      </c>
      <c r="H14" s="2" t="s">
        <v>236</v>
      </c>
      <c r="I14" s="2">
        <v>20</v>
      </c>
      <c r="K14" s="2" t="s">
        <v>237</v>
      </c>
      <c r="L14" s="2">
        <v>90</v>
      </c>
      <c r="N14" s="2" t="s">
        <v>238</v>
      </c>
      <c r="O14" s="2">
        <v>25</v>
      </c>
      <c r="Q14" s="2" t="s">
        <v>215</v>
      </c>
      <c r="R14" s="2">
        <v>20</v>
      </c>
    </row>
    <row r="15" spans="1:18" x14ac:dyDescent="0.25">
      <c r="A15" s="2" t="s">
        <v>236</v>
      </c>
      <c r="B15" s="2">
        <v>75</v>
      </c>
      <c r="H15" s="2" t="s">
        <v>236</v>
      </c>
      <c r="I15" s="2">
        <v>40</v>
      </c>
      <c r="K15" s="2" t="s">
        <v>237</v>
      </c>
      <c r="L15" s="2">
        <v>95</v>
      </c>
      <c r="N15" s="2" t="s">
        <v>238</v>
      </c>
      <c r="O15" s="2">
        <v>30</v>
      </c>
      <c r="Q15" s="2" t="s">
        <v>215</v>
      </c>
      <c r="R15" s="2">
        <v>42</v>
      </c>
    </row>
    <row r="16" spans="1:18" x14ac:dyDescent="0.25">
      <c r="A16" s="2" t="s">
        <v>236</v>
      </c>
      <c r="B16" s="2">
        <v>80</v>
      </c>
      <c r="H16" s="2" t="s">
        <v>236</v>
      </c>
      <c r="I16" s="2">
        <v>42</v>
      </c>
      <c r="N16" s="2" t="s">
        <v>238</v>
      </c>
      <c r="O16" s="2">
        <v>30</v>
      </c>
      <c r="Q16" s="2" t="s">
        <v>215</v>
      </c>
      <c r="R16" s="2">
        <v>50</v>
      </c>
    </row>
    <row r="17" spans="1:18" x14ac:dyDescent="0.25">
      <c r="A17" s="2" t="s">
        <v>236</v>
      </c>
      <c r="B17" s="2">
        <v>80</v>
      </c>
      <c r="H17" s="2" t="s">
        <v>236</v>
      </c>
      <c r="I17" s="2">
        <v>50</v>
      </c>
      <c r="L17">
        <f>SUM(L11:L16)</f>
        <v>435</v>
      </c>
      <c r="N17" s="2" t="s">
        <v>238</v>
      </c>
      <c r="O17" s="2">
        <v>40</v>
      </c>
      <c r="Q17" s="2" t="s">
        <v>215</v>
      </c>
      <c r="R17" s="2">
        <v>61</v>
      </c>
    </row>
    <row r="18" spans="1:18" x14ac:dyDescent="0.25">
      <c r="A18" s="2" t="s">
        <v>236</v>
      </c>
      <c r="B18" s="2">
        <v>80</v>
      </c>
      <c r="H18" s="2" t="s">
        <v>236</v>
      </c>
      <c r="I18" s="2">
        <v>60</v>
      </c>
      <c r="N18" s="2" t="s">
        <v>238</v>
      </c>
      <c r="O18" s="2">
        <v>40</v>
      </c>
      <c r="Q18" s="2" t="s">
        <v>215</v>
      </c>
      <c r="R18" s="2">
        <v>65</v>
      </c>
    </row>
    <row r="19" spans="1:18" x14ac:dyDescent="0.25">
      <c r="A19" s="2" t="s">
        <v>236</v>
      </c>
      <c r="B19" s="3">
        <v>80</v>
      </c>
      <c r="H19" s="2" t="s">
        <v>236</v>
      </c>
      <c r="I19" s="2">
        <v>70</v>
      </c>
      <c r="N19" s="2" t="s">
        <v>238</v>
      </c>
      <c r="O19" s="2">
        <v>43</v>
      </c>
      <c r="Q19" s="2" t="s">
        <v>215</v>
      </c>
      <c r="R19" s="2">
        <v>70</v>
      </c>
    </row>
    <row r="20" spans="1:18" x14ac:dyDescent="0.25">
      <c r="A20" s="2" t="s">
        <v>236</v>
      </c>
      <c r="B20" s="2">
        <v>80</v>
      </c>
      <c r="H20" s="2" t="s">
        <v>236</v>
      </c>
      <c r="I20" s="2">
        <v>75</v>
      </c>
      <c r="N20" s="2" t="s">
        <v>238</v>
      </c>
      <c r="O20" s="2">
        <v>45</v>
      </c>
      <c r="Q20" s="2" t="s">
        <v>215</v>
      </c>
      <c r="R20" s="2">
        <v>90</v>
      </c>
    </row>
    <row r="21" spans="1:18" x14ac:dyDescent="0.25">
      <c r="A21" s="2" t="s">
        <v>236</v>
      </c>
      <c r="B21" s="2">
        <v>80</v>
      </c>
      <c r="H21" s="2" t="s">
        <v>236</v>
      </c>
      <c r="I21" s="2">
        <v>75</v>
      </c>
      <c r="N21" s="2" t="s">
        <v>238</v>
      </c>
      <c r="O21" s="2">
        <v>50</v>
      </c>
      <c r="Q21" s="2" t="s">
        <v>215</v>
      </c>
      <c r="R21" s="2">
        <v>95</v>
      </c>
    </row>
    <row r="22" spans="1:18" x14ac:dyDescent="0.25">
      <c r="A22" s="2" t="s">
        <v>236</v>
      </c>
      <c r="B22" s="2">
        <v>80</v>
      </c>
      <c r="H22" s="2" t="s">
        <v>236</v>
      </c>
      <c r="I22" s="2">
        <v>75</v>
      </c>
      <c r="N22" s="2" t="s">
        <v>238</v>
      </c>
      <c r="O22" s="2">
        <v>50</v>
      </c>
      <c r="Q22" s="3" t="s">
        <v>215</v>
      </c>
      <c r="R22" s="3">
        <v>98</v>
      </c>
    </row>
    <row r="23" spans="1:18" x14ac:dyDescent="0.25">
      <c r="A23" s="2" t="s">
        <v>236</v>
      </c>
      <c r="B23" s="2">
        <v>85</v>
      </c>
      <c r="H23" s="2" t="s">
        <v>236</v>
      </c>
      <c r="I23" s="2">
        <v>80</v>
      </c>
      <c r="N23" s="2" t="s">
        <v>238</v>
      </c>
      <c r="O23" s="2">
        <v>50</v>
      </c>
      <c r="Q23" s="2" t="s">
        <v>215</v>
      </c>
      <c r="R23" s="2">
        <v>100</v>
      </c>
    </row>
    <row r="24" spans="1:18" x14ac:dyDescent="0.25">
      <c r="A24" s="2" t="s">
        <v>236</v>
      </c>
      <c r="B24" s="3">
        <v>86</v>
      </c>
      <c r="H24" s="2" t="s">
        <v>236</v>
      </c>
      <c r="I24" s="2">
        <v>80</v>
      </c>
      <c r="N24" s="2" t="s">
        <v>238</v>
      </c>
      <c r="O24" s="2">
        <v>53</v>
      </c>
    </row>
    <row r="25" spans="1:18" x14ac:dyDescent="0.25">
      <c r="A25" s="2" t="s">
        <v>236</v>
      </c>
      <c r="B25" s="2">
        <v>90</v>
      </c>
      <c r="H25" s="2" t="s">
        <v>236</v>
      </c>
      <c r="I25" s="2">
        <v>80</v>
      </c>
      <c r="N25" s="2" t="s">
        <v>238</v>
      </c>
      <c r="O25" s="2">
        <v>60</v>
      </c>
      <c r="R25">
        <f>SUM(R11:R24)</f>
        <v>721</v>
      </c>
    </row>
    <row r="26" spans="1:18" x14ac:dyDescent="0.25">
      <c r="A26" s="2" t="s">
        <v>236</v>
      </c>
      <c r="B26" s="2">
        <v>90</v>
      </c>
      <c r="H26" s="2" t="s">
        <v>236</v>
      </c>
      <c r="I26" s="3">
        <v>80</v>
      </c>
      <c r="N26" s="2" t="s">
        <v>238</v>
      </c>
      <c r="O26" s="2">
        <v>60</v>
      </c>
    </row>
    <row r="27" spans="1:18" x14ac:dyDescent="0.25">
      <c r="A27" s="2" t="s">
        <v>236</v>
      </c>
      <c r="B27" s="2">
        <v>90</v>
      </c>
      <c r="H27" s="2" t="s">
        <v>236</v>
      </c>
      <c r="I27" s="2">
        <v>80</v>
      </c>
      <c r="N27" s="2" t="s">
        <v>238</v>
      </c>
      <c r="O27" s="2">
        <v>60</v>
      </c>
    </row>
    <row r="28" spans="1:18" x14ac:dyDescent="0.25">
      <c r="A28" s="2" t="s">
        <v>236</v>
      </c>
      <c r="B28" s="3">
        <v>90</v>
      </c>
      <c r="H28" s="2" t="s">
        <v>236</v>
      </c>
      <c r="I28" s="2">
        <v>80</v>
      </c>
      <c r="N28" s="2" t="s">
        <v>238</v>
      </c>
      <c r="O28" s="2">
        <v>64</v>
      </c>
    </row>
    <row r="29" spans="1:18" x14ac:dyDescent="0.25">
      <c r="A29" s="2" t="s">
        <v>236</v>
      </c>
      <c r="B29" s="2">
        <v>90</v>
      </c>
      <c r="H29" s="2" t="s">
        <v>236</v>
      </c>
      <c r="I29" s="2">
        <v>80</v>
      </c>
      <c r="N29" s="2" t="s">
        <v>238</v>
      </c>
      <c r="O29" s="2">
        <v>65</v>
      </c>
    </row>
    <row r="30" spans="1:18" x14ac:dyDescent="0.25">
      <c r="A30" s="2" t="s">
        <v>236</v>
      </c>
      <c r="B30" s="2">
        <v>95</v>
      </c>
      <c r="H30" s="2" t="s">
        <v>236</v>
      </c>
      <c r="I30" s="2">
        <v>85</v>
      </c>
      <c r="N30" s="2" t="s">
        <v>238</v>
      </c>
      <c r="O30" s="2">
        <v>70</v>
      </c>
    </row>
    <row r="31" spans="1:18" x14ac:dyDescent="0.25">
      <c r="A31" s="2" t="s">
        <v>236</v>
      </c>
      <c r="B31" s="2">
        <v>95</v>
      </c>
      <c r="H31" s="2" t="s">
        <v>236</v>
      </c>
      <c r="I31" s="3">
        <v>86</v>
      </c>
      <c r="N31" s="2" t="s">
        <v>238</v>
      </c>
      <c r="O31" s="2">
        <v>70</v>
      </c>
    </row>
    <row r="32" spans="1:18" x14ac:dyDescent="0.25">
      <c r="A32" s="2" t="s">
        <v>236</v>
      </c>
      <c r="B32" s="2">
        <v>95</v>
      </c>
      <c r="H32" s="2" t="s">
        <v>236</v>
      </c>
      <c r="I32" s="2">
        <v>90</v>
      </c>
      <c r="N32" s="2" t="s">
        <v>238</v>
      </c>
      <c r="O32" s="2">
        <v>70</v>
      </c>
    </row>
    <row r="33" spans="1:15" x14ac:dyDescent="0.25">
      <c r="A33" s="2" t="s">
        <v>236</v>
      </c>
      <c r="B33" s="2">
        <v>95</v>
      </c>
      <c r="H33" s="2" t="s">
        <v>236</v>
      </c>
      <c r="I33" s="2">
        <v>90</v>
      </c>
      <c r="N33" s="2" t="s">
        <v>238</v>
      </c>
      <c r="O33" s="2">
        <v>70</v>
      </c>
    </row>
    <row r="34" spans="1:15" x14ac:dyDescent="0.25">
      <c r="A34" s="2" t="s">
        <v>236</v>
      </c>
      <c r="B34" s="2">
        <v>95</v>
      </c>
      <c r="H34" s="2" t="s">
        <v>236</v>
      </c>
      <c r="I34" s="2">
        <v>90</v>
      </c>
      <c r="N34" s="2" t="s">
        <v>238</v>
      </c>
      <c r="O34" s="2">
        <v>70</v>
      </c>
    </row>
    <row r="35" spans="1:15" x14ac:dyDescent="0.25">
      <c r="A35" s="2" t="s">
        <v>236</v>
      </c>
      <c r="B35" s="2">
        <v>97</v>
      </c>
      <c r="H35" s="2" t="s">
        <v>236</v>
      </c>
      <c r="I35" s="3">
        <v>90</v>
      </c>
      <c r="N35" s="2" t="s">
        <v>238</v>
      </c>
      <c r="O35" s="2">
        <v>70</v>
      </c>
    </row>
    <row r="36" spans="1:15" x14ac:dyDescent="0.25">
      <c r="A36" s="2" t="s">
        <v>236</v>
      </c>
      <c r="B36" s="2">
        <v>97</v>
      </c>
      <c r="H36" s="2" t="s">
        <v>236</v>
      </c>
      <c r="I36" s="2">
        <v>90</v>
      </c>
      <c r="N36" s="2" t="s">
        <v>238</v>
      </c>
      <c r="O36" s="2">
        <v>72</v>
      </c>
    </row>
    <row r="37" spans="1:15" x14ac:dyDescent="0.25">
      <c r="A37" s="2" t="s">
        <v>236</v>
      </c>
      <c r="B37" s="2">
        <v>98</v>
      </c>
      <c r="H37" s="2" t="s">
        <v>236</v>
      </c>
      <c r="I37" s="2">
        <v>95</v>
      </c>
      <c r="N37" s="2" t="s">
        <v>238</v>
      </c>
      <c r="O37" s="2">
        <v>75</v>
      </c>
    </row>
    <row r="38" spans="1:15" x14ac:dyDescent="0.25">
      <c r="A38" s="2" t="s">
        <v>236</v>
      </c>
      <c r="B38" s="3">
        <v>100</v>
      </c>
      <c r="H38" s="2" t="s">
        <v>236</v>
      </c>
      <c r="I38" s="2">
        <v>95</v>
      </c>
      <c r="N38" s="2" t="s">
        <v>238</v>
      </c>
      <c r="O38" s="2">
        <v>75</v>
      </c>
    </row>
    <row r="39" spans="1:15" x14ac:dyDescent="0.25">
      <c r="A39" s="2" t="s">
        <v>237</v>
      </c>
      <c r="B39" s="2">
        <v>75</v>
      </c>
      <c r="H39" s="2" t="s">
        <v>236</v>
      </c>
      <c r="I39" s="2">
        <v>95</v>
      </c>
      <c r="N39" s="2" t="s">
        <v>238</v>
      </c>
      <c r="O39" s="2">
        <v>76</v>
      </c>
    </row>
    <row r="40" spans="1:15" x14ac:dyDescent="0.25">
      <c r="A40" s="2" t="s">
        <v>237</v>
      </c>
      <c r="B40" s="2">
        <v>85</v>
      </c>
      <c r="H40" s="2" t="s">
        <v>236</v>
      </c>
      <c r="I40" s="2">
        <v>95</v>
      </c>
      <c r="N40" s="2" t="s">
        <v>238</v>
      </c>
      <c r="O40" s="2">
        <v>80</v>
      </c>
    </row>
    <row r="41" spans="1:15" x14ac:dyDescent="0.25">
      <c r="A41" s="2" t="s">
        <v>237</v>
      </c>
      <c r="B41" s="2">
        <v>90</v>
      </c>
      <c r="H41" s="2" t="s">
        <v>236</v>
      </c>
      <c r="I41" s="2">
        <v>95</v>
      </c>
      <c r="N41" s="2" t="s">
        <v>238</v>
      </c>
      <c r="O41" s="2">
        <v>80</v>
      </c>
    </row>
    <row r="42" spans="1:15" x14ac:dyDescent="0.25">
      <c r="A42" s="2" t="s">
        <v>237</v>
      </c>
      <c r="B42" s="2">
        <v>90</v>
      </c>
      <c r="H42" s="2" t="s">
        <v>236</v>
      </c>
      <c r="I42" s="2">
        <v>97</v>
      </c>
      <c r="N42" s="2" t="s">
        <v>238</v>
      </c>
      <c r="O42" s="2">
        <v>80</v>
      </c>
    </row>
    <row r="43" spans="1:15" x14ac:dyDescent="0.25">
      <c r="A43" s="2" t="s">
        <v>237</v>
      </c>
      <c r="B43" s="2">
        <v>95</v>
      </c>
      <c r="H43" s="2" t="s">
        <v>236</v>
      </c>
      <c r="I43" s="2">
        <v>97</v>
      </c>
      <c r="N43" s="2" t="s">
        <v>238</v>
      </c>
      <c r="O43" s="2">
        <v>80</v>
      </c>
    </row>
    <row r="44" spans="1:15" x14ac:dyDescent="0.25">
      <c r="A44" s="2" t="s">
        <v>238</v>
      </c>
      <c r="B44" s="2">
        <v>1</v>
      </c>
      <c r="H44" s="2" t="s">
        <v>236</v>
      </c>
      <c r="I44" s="2">
        <v>98</v>
      </c>
      <c r="N44" s="2" t="s">
        <v>238</v>
      </c>
      <c r="O44" s="2">
        <v>80</v>
      </c>
    </row>
    <row r="45" spans="1:15" x14ac:dyDescent="0.25">
      <c r="A45" s="2" t="s">
        <v>238</v>
      </c>
      <c r="B45" s="2">
        <v>10</v>
      </c>
      <c r="H45" s="2" t="s">
        <v>236</v>
      </c>
      <c r="I45" s="3">
        <v>100</v>
      </c>
      <c r="N45" s="2" t="s">
        <v>238</v>
      </c>
      <c r="O45" s="2">
        <v>80</v>
      </c>
    </row>
    <row r="46" spans="1:15" x14ac:dyDescent="0.25">
      <c r="A46" s="2" t="s">
        <v>238</v>
      </c>
      <c r="B46" s="2">
        <v>10</v>
      </c>
      <c r="N46" s="2" t="s">
        <v>238</v>
      </c>
      <c r="O46" s="2">
        <v>81</v>
      </c>
    </row>
    <row r="47" spans="1:15" x14ac:dyDescent="0.25">
      <c r="A47" s="2" t="s">
        <v>238</v>
      </c>
      <c r="B47" s="2">
        <v>25</v>
      </c>
      <c r="I47">
        <f>SUM(I11:I46)</f>
        <v>2575</v>
      </c>
      <c r="N47" s="2" t="s">
        <v>238</v>
      </c>
      <c r="O47" s="2">
        <v>81</v>
      </c>
    </row>
    <row r="48" spans="1:15" x14ac:dyDescent="0.25">
      <c r="A48" s="2" t="s">
        <v>238</v>
      </c>
      <c r="B48" s="2">
        <v>30</v>
      </c>
      <c r="N48" s="2" t="s">
        <v>238</v>
      </c>
      <c r="O48" s="2">
        <v>81</v>
      </c>
    </row>
    <row r="49" spans="1:15" x14ac:dyDescent="0.25">
      <c r="A49" s="2" t="s">
        <v>238</v>
      </c>
      <c r="B49" s="2">
        <v>30</v>
      </c>
      <c r="N49" s="2" t="s">
        <v>238</v>
      </c>
      <c r="O49" s="2">
        <v>82</v>
      </c>
    </row>
    <row r="50" spans="1:15" x14ac:dyDescent="0.25">
      <c r="A50" s="2" t="s">
        <v>238</v>
      </c>
      <c r="B50" s="2">
        <v>40</v>
      </c>
      <c r="N50" s="2" t="s">
        <v>238</v>
      </c>
      <c r="O50" s="2">
        <v>82</v>
      </c>
    </row>
    <row r="51" spans="1:15" x14ac:dyDescent="0.25">
      <c r="A51" s="2" t="s">
        <v>238</v>
      </c>
      <c r="B51" s="2">
        <v>40</v>
      </c>
      <c r="N51" s="2" t="s">
        <v>238</v>
      </c>
      <c r="O51" s="2">
        <v>85</v>
      </c>
    </row>
    <row r="52" spans="1:15" x14ac:dyDescent="0.25">
      <c r="A52" s="2" t="s">
        <v>238</v>
      </c>
      <c r="B52" s="2">
        <v>43</v>
      </c>
      <c r="N52" s="2" t="s">
        <v>238</v>
      </c>
      <c r="O52" s="2">
        <v>85</v>
      </c>
    </row>
    <row r="53" spans="1:15" x14ac:dyDescent="0.25">
      <c r="A53" s="2" t="s">
        <v>238</v>
      </c>
      <c r="B53" s="2">
        <v>45</v>
      </c>
      <c r="N53" s="2" t="s">
        <v>238</v>
      </c>
      <c r="O53" s="2">
        <v>85</v>
      </c>
    </row>
    <row r="54" spans="1:15" x14ac:dyDescent="0.25">
      <c r="A54" s="2" t="s">
        <v>238</v>
      </c>
      <c r="B54" s="2">
        <v>50</v>
      </c>
      <c r="N54" s="2" t="s">
        <v>238</v>
      </c>
      <c r="O54" s="2">
        <v>85</v>
      </c>
    </row>
    <row r="55" spans="1:15" x14ac:dyDescent="0.25">
      <c r="A55" s="2" t="s">
        <v>238</v>
      </c>
      <c r="B55" s="2">
        <v>50</v>
      </c>
      <c r="N55" s="2" t="s">
        <v>238</v>
      </c>
      <c r="O55" s="2">
        <v>88</v>
      </c>
    </row>
    <row r="56" spans="1:15" x14ac:dyDescent="0.25">
      <c r="A56" s="2" t="s">
        <v>238</v>
      </c>
      <c r="B56" s="2">
        <v>50</v>
      </c>
      <c r="N56" s="2" t="s">
        <v>238</v>
      </c>
      <c r="O56" s="2">
        <v>90</v>
      </c>
    </row>
    <row r="57" spans="1:15" x14ac:dyDescent="0.25">
      <c r="A57" s="2" t="s">
        <v>238</v>
      </c>
      <c r="B57" s="2">
        <v>53</v>
      </c>
      <c r="N57" s="2" t="s">
        <v>238</v>
      </c>
      <c r="O57" s="2">
        <v>90</v>
      </c>
    </row>
    <row r="58" spans="1:15" x14ac:dyDescent="0.25">
      <c r="A58" s="2" t="s">
        <v>238</v>
      </c>
      <c r="B58" s="2">
        <v>60</v>
      </c>
      <c r="N58" s="2" t="s">
        <v>238</v>
      </c>
      <c r="O58" s="2">
        <v>90</v>
      </c>
    </row>
    <row r="59" spans="1:15" x14ac:dyDescent="0.25">
      <c r="A59" s="2" t="s">
        <v>238</v>
      </c>
      <c r="B59" s="2">
        <v>60</v>
      </c>
      <c r="N59" s="2" t="s">
        <v>238</v>
      </c>
      <c r="O59" s="2">
        <v>90</v>
      </c>
    </row>
    <row r="60" spans="1:15" x14ac:dyDescent="0.25">
      <c r="A60" s="2" t="s">
        <v>238</v>
      </c>
      <c r="B60" s="2">
        <v>60</v>
      </c>
      <c r="N60" s="2" t="s">
        <v>238</v>
      </c>
      <c r="O60" s="2">
        <v>90</v>
      </c>
    </row>
    <row r="61" spans="1:15" x14ac:dyDescent="0.25">
      <c r="A61" s="2" t="s">
        <v>238</v>
      </c>
      <c r="B61" s="2">
        <v>64</v>
      </c>
      <c r="N61" s="2" t="s">
        <v>238</v>
      </c>
      <c r="O61" s="2">
        <v>90</v>
      </c>
    </row>
    <row r="62" spans="1:15" x14ac:dyDescent="0.25">
      <c r="A62" s="2" t="s">
        <v>238</v>
      </c>
      <c r="B62" s="2">
        <v>65</v>
      </c>
      <c r="N62" s="2" t="s">
        <v>238</v>
      </c>
      <c r="O62" s="2">
        <v>90</v>
      </c>
    </row>
    <row r="63" spans="1:15" x14ac:dyDescent="0.25">
      <c r="A63" s="2" t="s">
        <v>238</v>
      </c>
      <c r="B63" s="2">
        <v>70</v>
      </c>
      <c r="N63" s="2" t="s">
        <v>238</v>
      </c>
      <c r="O63" s="2">
        <v>90</v>
      </c>
    </row>
    <row r="64" spans="1:15" x14ac:dyDescent="0.25">
      <c r="A64" s="2" t="s">
        <v>238</v>
      </c>
      <c r="B64" s="2">
        <v>70</v>
      </c>
      <c r="N64" s="2" t="s">
        <v>238</v>
      </c>
      <c r="O64" s="2">
        <v>90</v>
      </c>
    </row>
    <row r="65" spans="1:15" x14ac:dyDescent="0.25">
      <c r="A65" s="2" t="s">
        <v>238</v>
      </c>
      <c r="B65" s="2">
        <v>70</v>
      </c>
      <c r="N65" s="3" t="s">
        <v>238</v>
      </c>
      <c r="O65" s="3">
        <v>90</v>
      </c>
    </row>
    <row r="66" spans="1:15" x14ac:dyDescent="0.25">
      <c r="A66" s="2" t="s">
        <v>238</v>
      </c>
      <c r="B66" s="2">
        <v>70</v>
      </c>
      <c r="N66" s="2" t="s">
        <v>238</v>
      </c>
      <c r="O66" s="2">
        <v>90</v>
      </c>
    </row>
    <row r="67" spans="1:15" x14ac:dyDescent="0.25">
      <c r="A67" s="2" t="s">
        <v>238</v>
      </c>
      <c r="B67" s="2">
        <v>70</v>
      </c>
      <c r="N67" s="2" t="s">
        <v>238</v>
      </c>
      <c r="O67" s="2">
        <v>94</v>
      </c>
    </row>
    <row r="68" spans="1:15" x14ac:dyDescent="0.25">
      <c r="A68" s="2" t="s">
        <v>238</v>
      </c>
      <c r="B68" s="2">
        <v>70</v>
      </c>
      <c r="N68" s="2" t="s">
        <v>238</v>
      </c>
      <c r="O68" s="2">
        <v>95</v>
      </c>
    </row>
    <row r="69" spans="1:15" x14ac:dyDescent="0.25">
      <c r="A69" s="2" t="s">
        <v>238</v>
      </c>
      <c r="B69" s="2">
        <v>72</v>
      </c>
      <c r="N69" s="2" t="s">
        <v>238</v>
      </c>
      <c r="O69" s="2">
        <v>95</v>
      </c>
    </row>
    <row r="70" spans="1:15" x14ac:dyDescent="0.25">
      <c r="A70" s="2" t="s">
        <v>238</v>
      </c>
      <c r="B70" s="2">
        <v>75</v>
      </c>
      <c r="N70" s="2" t="s">
        <v>238</v>
      </c>
      <c r="O70" s="2">
        <v>95</v>
      </c>
    </row>
    <row r="71" spans="1:15" x14ac:dyDescent="0.25">
      <c r="A71" s="2" t="s">
        <v>238</v>
      </c>
      <c r="B71" s="2">
        <v>75</v>
      </c>
      <c r="N71" s="2" t="s">
        <v>238</v>
      </c>
      <c r="O71" s="2">
        <v>95</v>
      </c>
    </row>
    <row r="72" spans="1:15" x14ac:dyDescent="0.25">
      <c r="A72" s="2" t="s">
        <v>238</v>
      </c>
      <c r="B72" s="2">
        <v>76</v>
      </c>
      <c r="N72" s="2" t="s">
        <v>238</v>
      </c>
      <c r="O72" s="2">
        <v>95</v>
      </c>
    </row>
    <row r="73" spans="1:15" x14ac:dyDescent="0.25">
      <c r="A73" s="2" t="s">
        <v>238</v>
      </c>
      <c r="B73" s="2">
        <v>80</v>
      </c>
      <c r="N73" s="2" t="s">
        <v>238</v>
      </c>
      <c r="O73" s="2">
        <v>95</v>
      </c>
    </row>
    <row r="74" spans="1:15" x14ac:dyDescent="0.25">
      <c r="A74" s="2" t="s">
        <v>238</v>
      </c>
      <c r="B74" s="2">
        <v>80</v>
      </c>
      <c r="N74" s="2" t="s">
        <v>238</v>
      </c>
      <c r="O74" s="2">
        <v>95</v>
      </c>
    </row>
    <row r="75" spans="1:15" x14ac:dyDescent="0.25">
      <c r="A75" s="2" t="s">
        <v>238</v>
      </c>
      <c r="B75" s="2">
        <v>80</v>
      </c>
      <c r="N75" s="2" t="s">
        <v>238</v>
      </c>
      <c r="O75" s="2">
        <v>96</v>
      </c>
    </row>
    <row r="76" spans="1:15" x14ac:dyDescent="0.25">
      <c r="A76" s="2" t="s">
        <v>238</v>
      </c>
      <c r="B76" s="2">
        <v>80</v>
      </c>
      <c r="N76" s="2" t="s">
        <v>238</v>
      </c>
      <c r="O76" s="2">
        <v>96</v>
      </c>
    </row>
    <row r="77" spans="1:15" x14ac:dyDescent="0.25">
      <c r="A77" s="2" t="s">
        <v>238</v>
      </c>
      <c r="B77" s="2">
        <v>80</v>
      </c>
      <c r="N77" s="2" t="s">
        <v>238</v>
      </c>
      <c r="O77" s="2">
        <v>97</v>
      </c>
    </row>
    <row r="78" spans="1:15" x14ac:dyDescent="0.25">
      <c r="A78" s="2" t="s">
        <v>238</v>
      </c>
      <c r="B78" s="2">
        <v>80</v>
      </c>
      <c r="N78" s="2" t="s">
        <v>238</v>
      </c>
      <c r="O78" s="2">
        <v>97</v>
      </c>
    </row>
    <row r="79" spans="1:15" x14ac:dyDescent="0.25">
      <c r="A79" s="2" t="s">
        <v>238</v>
      </c>
      <c r="B79" s="2">
        <v>81</v>
      </c>
      <c r="N79" s="2" t="s">
        <v>238</v>
      </c>
      <c r="O79" s="2">
        <v>97</v>
      </c>
    </row>
    <row r="80" spans="1:15" x14ac:dyDescent="0.25">
      <c r="A80" s="2" t="s">
        <v>238</v>
      </c>
      <c r="B80" s="2">
        <v>81</v>
      </c>
      <c r="N80" s="2" t="s">
        <v>238</v>
      </c>
      <c r="O80" s="2">
        <v>98</v>
      </c>
    </row>
    <row r="81" spans="1:15" x14ac:dyDescent="0.25">
      <c r="A81" s="2" t="s">
        <v>238</v>
      </c>
      <c r="B81" s="2">
        <v>81</v>
      </c>
      <c r="N81" s="2" t="s">
        <v>238</v>
      </c>
      <c r="O81" s="2">
        <v>98</v>
      </c>
    </row>
    <row r="82" spans="1:15" x14ac:dyDescent="0.25">
      <c r="A82" s="2" t="s">
        <v>238</v>
      </c>
      <c r="B82" s="2">
        <v>82</v>
      </c>
      <c r="N82" s="2" t="s">
        <v>238</v>
      </c>
      <c r="O82" s="2">
        <v>99</v>
      </c>
    </row>
    <row r="83" spans="1:15" x14ac:dyDescent="0.25">
      <c r="A83" s="2" t="s">
        <v>238</v>
      </c>
      <c r="B83" s="2">
        <v>82</v>
      </c>
      <c r="N83" s="2" t="s">
        <v>238</v>
      </c>
      <c r="O83" s="2">
        <v>99</v>
      </c>
    </row>
    <row r="84" spans="1:15" x14ac:dyDescent="0.25">
      <c r="A84" s="2" t="s">
        <v>238</v>
      </c>
      <c r="B84" s="2">
        <v>85</v>
      </c>
      <c r="N84" s="2" t="s">
        <v>238</v>
      </c>
      <c r="O84" s="2">
        <v>100</v>
      </c>
    </row>
    <row r="85" spans="1:15" x14ac:dyDescent="0.25">
      <c r="A85" s="2" t="s">
        <v>238</v>
      </c>
      <c r="B85" s="2">
        <v>85</v>
      </c>
      <c r="N85" s="2" t="s">
        <v>238</v>
      </c>
      <c r="O85" s="2">
        <v>100</v>
      </c>
    </row>
    <row r="86" spans="1:15" x14ac:dyDescent="0.25">
      <c r="A86" s="2" t="s">
        <v>238</v>
      </c>
      <c r="B86" s="2">
        <v>85</v>
      </c>
      <c r="N86" s="2" t="s">
        <v>238</v>
      </c>
      <c r="O86" s="2">
        <v>100</v>
      </c>
    </row>
    <row r="87" spans="1:15" x14ac:dyDescent="0.25">
      <c r="A87" s="2" t="s">
        <v>238</v>
      </c>
      <c r="B87" s="2">
        <v>85</v>
      </c>
      <c r="N87" s="2" t="s">
        <v>238</v>
      </c>
      <c r="O87" s="2">
        <v>100</v>
      </c>
    </row>
    <row r="88" spans="1:15" x14ac:dyDescent="0.25">
      <c r="A88" s="2" t="s">
        <v>238</v>
      </c>
      <c r="B88" s="2">
        <v>88</v>
      </c>
      <c r="N88" s="2" t="s">
        <v>238</v>
      </c>
      <c r="O88" s="2">
        <v>100</v>
      </c>
    </row>
    <row r="89" spans="1:15" x14ac:dyDescent="0.25">
      <c r="A89" s="2" t="s">
        <v>238</v>
      </c>
      <c r="B89" s="2">
        <v>90</v>
      </c>
      <c r="N89" s="2" t="s">
        <v>238</v>
      </c>
      <c r="O89" s="2">
        <v>100</v>
      </c>
    </row>
    <row r="90" spans="1:15" x14ac:dyDescent="0.25">
      <c r="A90" s="2" t="s">
        <v>238</v>
      </c>
      <c r="B90" s="2">
        <v>90</v>
      </c>
      <c r="N90" s="2" t="s">
        <v>238</v>
      </c>
      <c r="O90" s="2">
        <v>100</v>
      </c>
    </row>
    <row r="91" spans="1:15" x14ac:dyDescent="0.25">
      <c r="A91" s="2" t="s">
        <v>238</v>
      </c>
      <c r="B91" s="2">
        <v>90</v>
      </c>
      <c r="N91" s="2" t="s">
        <v>238</v>
      </c>
      <c r="O91" s="2">
        <v>100</v>
      </c>
    </row>
    <row r="92" spans="1:15" x14ac:dyDescent="0.25">
      <c r="A92" s="2" t="s">
        <v>238</v>
      </c>
      <c r="B92" s="2">
        <v>90</v>
      </c>
    </row>
    <row r="93" spans="1:15" x14ac:dyDescent="0.25">
      <c r="A93" s="2" t="s">
        <v>238</v>
      </c>
      <c r="B93" s="2">
        <v>90</v>
      </c>
      <c r="O93">
        <f>SUM(O11:O92)</f>
        <v>6245</v>
      </c>
    </row>
    <row r="94" spans="1:15" x14ac:dyDescent="0.25">
      <c r="A94" s="2" t="s">
        <v>238</v>
      </c>
      <c r="B94" s="2">
        <v>90</v>
      </c>
    </row>
    <row r="95" spans="1:15" x14ac:dyDescent="0.25">
      <c r="A95" s="2" t="s">
        <v>238</v>
      </c>
      <c r="B95" s="2">
        <v>90</v>
      </c>
    </row>
    <row r="96" spans="1:15" x14ac:dyDescent="0.25">
      <c r="A96" s="2" t="s">
        <v>238</v>
      </c>
      <c r="B96" s="2">
        <v>90</v>
      </c>
    </row>
    <row r="97" spans="1:2" x14ac:dyDescent="0.25">
      <c r="A97" s="2" t="s">
        <v>238</v>
      </c>
      <c r="B97" s="2">
        <v>90</v>
      </c>
    </row>
    <row r="98" spans="1:2" x14ac:dyDescent="0.25">
      <c r="A98" s="3" t="s">
        <v>238</v>
      </c>
      <c r="B98" s="3">
        <v>90</v>
      </c>
    </row>
    <row r="99" spans="1:2" x14ac:dyDescent="0.25">
      <c r="A99" s="2" t="s">
        <v>238</v>
      </c>
      <c r="B99" s="2">
        <v>90</v>
      </c>
    </row>
    <row r="100" spans="1:2" x14ac:dyDescent="0.25">
      <c r="A100" s="2" t="s">
        <v>238</v>
      </c>
      <c r="B100" s="2">
        <v>94</v>
      </c>
    </row>
    <row r="101" spans="1:2" x14ac:dyDescent="0.25">
      <c r="A101" s="2" t="s">
        <v>238</v>
      </c>
      <c r="B101" s="2">
        <v>95</v>
      </c>
    </row>
    <row r="102" spans="1:2" x14ac:dyDescent="0.25">
      <c r="A102" s="2" t="s">
        <v>238</v>
      </c>
      <c r="B102" s="2">
        <v>95</v>
      </c>
    </row>
    <row r="103" spans="1:2" x14ac:dyDescent="0.25">
      <c r="A103" s="2" t="s">
        <v>238</v>
      </c>
      <c r="B103" s="2">
        <v>95</v>
      </c>
    </row>
    <row r="104" spans="1:2" x14ac:dyDescent="0.25">
      <c r="A104" s="2" t="s">
        <v>238</v>
      </c>
      <c r="B104" s="2">
        <v>95</v>
      </c>
    </row>
    <row r="105" spans="1:2" x14ac:dyDescent="0.25">
      <c r="A105" s="2" t="s">
        <v>238</v>
      </c>
      <c r="B105" s="2">
        <v>95</v>
      </c>
    </row>
    <row r="106" spans="1:2" x14ac:dyDescent="0.25">
      <c r="A106" s="2" t="s">
        <v>238</v>
      </c>
      <c r="B106" s="2">
        <v>95</v>
      </c>
    </row>
    <row r="107" spans="1:2" x14ac:dyDescent="0.25">
      <c r="A107" s="2" t="s">
        <v>238</v>
      </c>
      <c r="B107" s="2">
        <v>95</v>
      </c>
    </row>
    <row r="108" spans="1:2" x14ac:dyDescent="0.25">
      <c r="A108" s="2" t="s">
        <v>238</v>
      </c>
      <c r="B108" s="2">
        <v>96</v>
      </c>
    </row>
    <row r="109" spans="1:2" x14ac:dyDescent="0.25">
      <c r="A109" s="2" t="s">
        <v>238</v>
      </c>
      <c r="B109" s="2">
        <v>96</v>
      </c>
    </row>
    <row r="110" spans="1:2" x14ac:dyDescent="0.25">
      <c r="A110" s="2" t="s">
        <v>238</v>
      </c>
      <c r="B110" s="2">
        <v>97</v>
      </c>
    </row>
    <row r="111" spans="1:2" x14ac:dyDescent="0.25">
      <c r="A111" s="2" t="s">
        <v>238</v>
      </c>
      <c r="B111" s="2">
        <v>97</v>
      </c>
    </row>
    <row r="112" spans="1:2" x14ac:dyDescent="0.25">
      <c r="A112" s="2" t="s">
        <v>238</v>
      </c>
      <c r="B112" s="2">
        <v>97</v>
      </c>
    </row>
    <row r="113" spans="1:2" x14ac:dyDescent="0.25">
      <c r="A113" s="2" t="s">
        <v>238</v>
      </c>
      <c r="B113" s="2">
        <v>98</v>
      </c>
    </row>
    <row r="114" spans="1:2" x14ac:dyDescent="0.25">
      <c r="A114" s="2" t="s">
        <v>238</v>
      </c>
      <c r="B114" s="2">
        <v>98</v>
      </c>
    </row>
    <row r="115" spans="1:2" x14ac:dyDescent="0.25">
      <c r="A115" s="2" t="s">
        <v>238</v>
      </c>
      <c r="B115" s="2">
        <v>99</v>
      </c>
    </row>
    <row r="116" spans="1:2" x14ac:dyDescent="0.25">
      <c r="A116" s="2" t="s">
        <v>238</v>
      </c>
      <c r="B116" s="2">
        <v>99</v>
      </c>
    </row>
    <row r="117" spans="1:2" x14ac:dyDescent="0.25">
      <c r="A117" s="2" t="s">
        <v>238</v>
      </c>
      <c r="B117" s="2">
        <v>100</v>
      </c>
    </row>
    <row r="118" spans="1:2" x14ac:dyDescent="0.25">
      <c r="A118" s="2" t="s">
        <v>238</v>
      </c>
      <c r="B118" s="2">
        <v>100</v>
      </c>
    </row>
    <row r="119" spans="1:2" x14ac:dyDescent="0.25">
      <c r="A119" s="2" t="s">
        <v>238</v>
      </c>
      <c r="B119" s="2">
        <v>100</v>
      </c>
    </row>
    <row r="120" spans="1:2" x14ac:dyDescent="0.25">
      <c r="A120" s="2" t="s">
        <v>238</v>
      </c>
      <c r="B120" s="2">
        <v>100</v>
      </c>
    </row>
    <row r="121" spans="1:2" x14ac:dyDescent="0.25">
      <c r="A121" s="2" t="s">
        <v>238</v>
      </c>
      <c r="B121" s="2">
        <v>100</v>
      </c>
    </row>
    <row r="122" spans="1:2" x14ac:dyDescent="0.25">
      <c r="A122" s="2" t="s">
        <v>238</v>
      </c>
      <c r="B122" s="2">
        <v>100</v>
      </c>
    </row>
    <row r="123" spans="1:2" x14ac:dyDescent="0.25">
      <c r="A123" s="2" t="s">
        <v>238</v>
      </c>
      <c r="B123" s="2">
        <v>100</v>
      </c>
    </row>
    <row r="124" spans="1:2" x14ac:dyDescent="0.25">
      <c r="A124" s="2" t="s">
        <v>238</v>
      </c>
      <c r="B124" s="2">
        <v>100</v>
      </c>
    </row>
    <row r="125" spans="1:2" x14ac:dyDescent="0.25">
      <c r="A125" s="2" t="s">
        <v>215</v>
      </c>
      <c r="B125" s="2">
        <v>5</v>
      </c>
    </row>
    <row r="126" spans="1:2" x14ac:dyDescent="0.25">
      <c r="A126" s="2" t="s">
        <v>215</v>
      </c>
      <c r="B126" s="2">
        <v>10</v>
      </c>
    </row>
    <row r="127" spans="1:2" x14ac:dyDescent="0.25">
      <c r="A127" s="2" t="s">
        <v>215</v>
      </c>
      <c r="B127" s="2">
        <v>15</v>
      </c>
    </row>
    <row r="128" spans="1:2" x14ac:dyDescent="0.25">
      <c r="A128" s="2" t="s">
        <v>215</v>
      </c>
      <c r="B128" s="2">
        <v>20</v>
      </c>
    </row>
    <row r="129" spans="1:2" x14ac:dyDescent="0.25">
      <c r="A129" s="2" t="s">
        <v>215</v>
      </c>
      <c r="B129" s="2">
        <v>42</v>
      </c>
    </row>
    <row r="130" spans="1:2" x14ac:dyDescent="0.25">
      <c r="A130" s="2" t="s">
        <v>215</v>
      </c>
      <c r="B130" s="2">
        <v>50</v>
      </c>
    </row>
    <row r="131" spans="1:2" x14ac:dyDescent="0.25">
      <c r="A131" s="2" t="s">
        <v>215</v>
      </c>
      <c r="B131" s="2">
        <v>61</v>
      </c>
    </row>
    <row r="132" spans="1:2" x14ac:dyDescent="0.25">
      <c r="A132" s="2" t="s">
        <v>215</v>
      </c>
      <c r="B132" s="2">
        <v>65</v>
      </c>
    </row>
    <row r="133" spans="1:2" x14ac:dyDescent="0.25">
      <c r="A133" s="2" t="s">
        <v>215</v>
      </c>
      <c r="B133" s="2">
        <v>70</v>
      </c>
    </row>
    <row r="134" spans="1:2" x14ac:dyDescent="0.25">
      <c r="A134" s="2" t="s">
        <v>215</v>
      </c>
      <c r="B134" s="2">
        <v>90</v>
      </c>
    </row>
    <row r="135" spans="1:2" x14ac:dyDescent="0.25">
      <c r="A135" s="2" t="s">
        <v>215</v>
      </c>
      <c r="B135" s="2">
        <v>95</v>
      </c>
    </row>
    <row r="136" spans="1:2" x14ac:dyDescent="0.25">
      <c r="A136" s="3" t="s">
        <v>215</v>
      </c>
      <c r="B136" s="3">
        <v>98</v>
      </c>
    </row>
    <row r="137" spans="1:2" x14ac:dyDescent="0.25">
      <c r="A137" s="2" t="s">
        <v>215</v>
      </c>
      <c r="B137" s="2">
        <v>100</v>
      </c>
    </row>
    <row r="139" spans="1:2" x14ac:dyDescent="0.25">
      <c r="B139">
        <f>SUM(B4:B138)</f>
        <v>9976</v>
      </c>
    </row>
  </sheetData>
  <sortState ref="A4:B137">
    <sortCondition ref="A4:A137"/>
    <sortCondition ref="B4:B137"/>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Ruwe data</vt:lpstr>
      <vt:lpstr>Overzicht vragen</vt:lpstr>
      <vt:lpstr>Type instelling</vt:lpstr>
      <vt:lpstr>Erfgoedtaak</vt:lpstr>
      <vt:lpstr>Budget &amp; FTE</vt:lpstr>
      <vt:lpstr>Digitale strategie</vt:lpstr>
      <vt:lpstr>Born digital</vt:lpstr>
      <vt:lpstr>Objecttypes</vt:lpstr>
      <vt:lpstr>Collectiedatabase</vt:lpstr>
      <vt:lpstr>Digitale collectie</vt:lpstr>
      <vt:lpstr>Gedigitaliseerd</vt:lpstr>
      <vt:lpstr>Online</vt:lpstr>
      <vt:lpstr>Auteursrechten</vt:lpstr>
      <vt:lpstr>Kanalen</vt:lpstr>
      <vt:lpstr>Online kanalen</vt:lpstr>
      <vt:lpstr>Gebruik</vt:lpstr>
      <vt:lpstr>Gebruiksstatistieken</vt:lpstr>
      <vt:lpstr>Websitebezoek</vt:lpstr>
      <vt:lpstr>Digitaal depot</vt:lpstr>
      <vt:lpstr>Uitgaven</vt:lpstr>
      <vt:lpstr>Kosten</vt:lpstr>
      <vt:lpstr>Besteding</vt:lpstr>
      <vt:lpstr>Besteding (2)</vt:lpstr>
      <vt:lpstr>Besteding (3)</vt:lpstr>
      <vt:lpstr>FTE's</vt:lpstr>
      <vt:lpstr>Financiering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Wietske van den Heuvel</dc:creator>
  <cp:lastModifiedBy>Niet, M.C. de</cp:lastModifiedBy>
  <cp:lastPrinted>2017-08-18T11:42:38Z</cp:lastPrinted>
  <dcterms:created xsi:type="dcterms:W3CDTF">2017-07-07T12:23:11Z</dcterms:created>
  <dcterms:modified xsi:type="dcterms:W3CDTF">2017-10-17T21:28:47Z</dcterms:modified>
</cp:coreProperties>
</file>